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3.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2.xml" ContentType="application/vnd.openxmlformats-officedocument.spreadsheetml.comments+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3"/>
  <workbookPr codeName="ThisWorkbook" defaultThemeVersion="124226"/>
  <mc:AlternateContent xmlns:mc="http://schemas.openxmlformats.org/markup-compatibility/2006">
    <mc:Choice Requires="x15">
      <x15ac:absPath xmlns:x15ac="http://schemas.microsoft.com/office/spreadsheetml/2010/11/ac" url="https://bslau-my.sharepoint.com/personal/manuel_solano_bsl_org_au/Documents/Documents/Financials/"/>
    </mc:Choice>
  </mc:AlternateContent>
  <xr:revisionPtr revIDLastSave="106" documentId="8_{785B745D-2432-4FA1-BBE3-9E6931649DCE}" xr6:coauthVersionLast="47" xr6:coauthVersionMax="47" xr10:uidLastSave="{734A5170-B751-40AC-A025-A7F9E550E3BF}"/>
  <workbookProtection workbookAlgorithmName="SHA-512" workbookHashValue="y1UD49/cSIjJPjUhYksw7lZETLR0CtSnvYP/DMtp9NHeD9+rTVq/0Ez5y9pem1uXi8QYFNGItKTXpMj5JuZfzA==" workbookSaltValue="qc+plt0nivM+GpxED4ldlg==" workbookSpinCount="100000" lockStructure="1"/>
  <bookViews>
    <workbookView xWindow="-14895" yWindow="-16320" windowWidth="29040" windowHeight="15720" tabRatio="861" firstSheet="1" activeTab="11" xr2:uid="{26B2BEC1-6A67-4AD4-BAFB-4F342963B73C}"/>
  </bookViews>
  <sheets>
    <sheet name="Work to do" sheetId="17" state="hidden" r:id="rId1"/>
    <sheet name="Instructions" sheetId="8" r:id="rId2"/>
    <sheet name="Checklist (2)" sheetId="22" state="hidden" r:id="rId3"/>
    <sheet name="Checklist" sheetId="21" r:id="rId4"/>
    <sheet name="Jan-Jun 24 Biannual Actuals" sheetId="23" state="hidden" r:id="rId5"/>
    <sheet name="Jan-Jun 24 Budget" sheetId="24" state="hidden" r:id="rId6"/>
    <sheet name="S1. FY25-26 Biannual Actuals" sheetId="10" r:id="rId7"/>
    <sheet name="S2. FY25-26 Annual Financials" sheetId="19" r:id="rId8"/>
    <sheet name="S3.1. FY26-27 Budget" sheetId="6" r:id="rId9"/>
    <sheet name="S3.2. FY26-27 Budget" sheetId="27" r:id="rId10"/>
    <sheet name="S4. FY24-25 Surplus Proposal" sheetId="26" r:id="rId11"/>
    <sheet name="S5. FY25-26 Dashboard" sheetId="9" r:id="rId12"/>
    <sheet name="Funding Calculator" sheetId="20" state="hidden" r:id="rId13"/>
    <sheet name="Lists" sheetId="12" state="hidden" r:id="rId14"/>
    <sheet name="SCHADS - 2025" sheetId="11" state="hidden" r:id="rId15"/>
    <sheet name="CSA - 2025" sheetId="13" state="hidden" r:id="rId16"/>
    <sheet name="(2) Biannual Actuals" sheetId="7" state="hidden" r:id="rId17"/>
    <sheet name="Annual Financials  " sheetId="5" state="hidden" r:id="rId18"/>
    <sheet name="Surplus Application" sheetId="16" state="hidden" r:id="rId19"/>
  </sheets>
  <definedNames>
    <definedName name="_Hlk169596277" localSheetId="15">'CSA - 2025'!$A$19</definedName>
    <definedName name="_xlnm.Print_Area" localSheetId="16">'(2) Biannual Actuals'!$A$1:$P$41</definedName>
    <definedName name="_xlnm.Print_Area" localSheetId="17">'Annual Financials  '!$A$1:$J$41</definedName>
    <definedName name="_xlnm.Print_Area" localSheetId="4">'Jan-Jun 24 Biannual Actuals'!$A$1:$E$35</definedName>
    <definedName name="_xlnm.Print_Area" localSheetId="6">'S1. FY25-26 Biannual Actuals'!$A$1:$E$35</definedName>
    <definedName name="_xlnm.Print_Area" localSheetId="11">'S5. FY25-26 Dashboard'!$A$1:$G$36</definedName>
    <definedName name="_xlnm.Print_Area" localSheetId="18">'Surplus Application'!$A$1:$G$63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76" i="6" l="1"/>
  <c r="AK75" i="6"/>
  <c r="AK74" i="6"/>
  <c r="AK73" i="6"/>
  <c r="AK72" i="6"/>
  <c r="AK71" i="6"/>
  <c r="AK70" i="6"/>
  <c r="AK69" i="6"/>
  <c r="AK65" i="6"/>
  <c r="AK64" i="6"/>
  <c r="AK63" i="6"/>
  <c r="AK76" i="27"/>
  <c r="AJ76" i="27" s="1"/>
  <c r="AK75" i="27"/>
  <c r="AJ75" i="27" s="1"/>
  <c r="AK74" i="27"/>
  <c r="AJ74" i="27" s="1"/>
  <c r="AK73" i="27"/>
  <c r="AJ73" i="27" s="1"/>
  <c r="AK72" i="27"/>
  <c r="AJ72" i="27" s="1"/>
  <c r="AK71" i="27"/>
  <c r="AJ71" i="27" s="1"/>
  <c r="AK70" i="27"/>
  <c r="AK69" i="27"/>
  <c r="AJ69" i="27" s="1"/>
  <c r="AK65" i="27"/>
  <c r="AJ65" i="27" s="1"/>
  <c r="AK64" i="27"/>
  <c r="AJ64" i="27" s="1"/>
  <c r="AK63" i="27"/>
  <c r="C32" i="9"/>
  <c r="C31" i="9"/>
  <c r="C30" i="9"/>
  <c r="C29" i="9"/>
  <c r="C28" i="9"/>
  <c r="C27" i="9"/>
  <c r="C26" i="9"/>
  <c r="C25" i="9"/>
  <c r="C24" i="9"/>
  <c r="C23" i="9"/>
  <c r="C19" i="9"/>
  <c r="C18" i="9"/>
  <c r="C17" i="9"/>
  <c r="C14" i="9"/>
  <c r="C13" i="9"/>
  <c r="AJ70" i="27"/>
  <c r="AK67" i="27"/>
  <c r="AJ67" i="27" s="1"/>
  <c r="AK66" i="27"/>
  <c r="AJ66" i="27"/>
  <c r="AJ63" i="27"/>
  <c r="D49" i="27"/>
  <c r="D54" i="27" s="1"/>
  <c r="D48" i="27"/>
  <c r="D53" i="27" s="1"/>
  <c r="D47" i="27"/>
  <c r="D52" i="27" s="1"/>
  <c r="D46" i="27"/>
  <c r="D51" i="27" s="1"/>
  <c r="B32" i="27"/>
  <c r="B14" i="27"/>
  <c r="B30" i="19"/>
  <c r="B30" i="26"/>
  <c r="AG73" i="10"/>
  <c r="AF73" i="10" s="1"/>
  <c r="AG74" i="10"/>
  <c r="AF74" i="10" s="1"/>
  <c r="AG75" i="10"/>
  <c r="AF75" i="10"/>
  <c r="Z13" i="19"/>
  <c r="Z10" i="19"/>
  <c r="AG72" i="10"/>
  <c r="AG71" i="10"/>
  <c r="AG70" i="10"/>
  <c r="AG68" i="10"/>
  <c r="AG66" i="10"/>
  <c r="AG64" i="10"/>
  <c r="AG62" i="10"/>
  <c r="AG61" i="10"/>
  <c r="AG58" i="10"/>
  <c r="AG57" i="10"/>
  <c r="AG56" i="10"/>
  <c r="AG55" i="10"/>
  <c r="AG54" i="10"/>
  <c r="AG53" i="10"/>
  <c r="AG46" i="10"/>
  <c r="AF46" i="10" s="1"/>
  <c r="AG48" i="10"/>
  <c r="AG47" i="10"/>
  <c r="B29" i="19"/>
  <c r="Z18" i="19" s="1"/>
  <c r="Z19" i="19"/>
  <c r="AG60" i="10"/>
  <c r="Z19" i="26"/>
  <c r="Z18" i="26"/>
  <c r="Z17" i="26"/>
  <c r="Z16" i="26"/>
  <c r="Z15" i="26"/>
  <c r="Z14" i="26"/>
  <c r="Z13" i="26"/>
  <c r="AG69" i="10"/>
  <c r="AG67" i="10"/>
  <c r="AG65" i="10"/>
  <c r="AG63" i="10"/>
  <c r="AG59" i="10"/>
  <c r="AG50" i="10"/>
  <c r="AG45" i="10"/>
  <c r="AG43" i="10"/>
  <c r="AG42" i="10"/>
  <c r="H24" i="13"/>
  <c r="L7" i="11"/>
  <c r="L8" i="11"/>
  <c r="L9" i="11"/>
  <c r="L10" i="11"/>
  <c r="L11" i="11"/>
  <c r="L12" i="11"/>
  <c r="L13" i="11"/>
  <c r="L14" i="11"/>
  <c r="L15" i="11"/>
  <c r="L16" i="11"/>
  <c r="L17" i="11"/>
  <c r="L18" i="11"/>
  <c r="L19" i="11"/>
  <c r="L20" i="11"/>
  <c r="L21" i="11"/>
  <c r="L22" i="11"/>
  <c r="L23" i="11"/>
  <c r="L24" i="11"/>
  <c r="L25" i="11"/>
  <c r="L26" i="11"/>
  <c r="L27" i="11"/>
  <c r="L28" i="11"/>
  <c r="L29" i="11"/>
  <c r="L30" i="11"/>
  <c r="L31" i="11"/>
  <c r="L32" i="11"/>
  <c r="L6" i="11"/>
  <c r="B8" i="10"/>
  <c r="B8" i="9"/>
  <c r="B11" i="26"/>
  <c r="B8" i="19"/>
  <c r="D10" i="10"/>
  <c r="B18" i="27" l="1"/>
  <c r="B20" i="27" s="1"/>
  <c r="B33" i="27" s="1"/>
  <c r="B34" i="27" s="1"/>
  <c r="Z20" i="19"/>
  <c r="Z17" i="19"/>
  <c r="AJ76" i="6"/>
  <c r="AJ75" i="6"/>
  <c r="AJ74" i="6"/>
  <c r="AJ73" i="6"/>
  <c r="AJ72" i="6"/>
  <c r="AJ71" i="6"/>
  <c r="AJ70" i="6"/>
  <c r="AJ69" i="6"/>
  <c r="AK67" i="6"/>
  <c r="AJ67" i="6" s="1"/>
  <c r="AK66" i="6"/>
  <c r="AJ66" i="6"/>
  <c r="AJ65" i="6"/>
  <c r="AJ64" i="6"/>
  <c r="AJ63" i="6"/>
  <c r="AF72" i="10"/>
  <c r="AF71" i="10"/>
  <c r="AF70" i="10"/>
  <c r="AF69" i="10"/>
  <c r="AF68" i="10"/>
  <c r="AF67" i="10"/>
  <c r="AF66" i="10"/>
  <c r="AF65" i="10"/>
  <c r="AF64" i="10"/>
  <c r="AF63" i="10"/>
  <c r="AF62" i="10"/>
  <c r="AF61" i="10"/>
  <c r="AF60" i="10"/>
  <c r="AF59" i="10"/>
  <c r="AF58" i="10"/>
  <c r="AF57" i="10"/>
  <c r="AF56" i="10"/>
  <c r="AF55" i="10"/>
  <c r="AF54" i="10"/>
  <c r="AF53" i="10"/>
  <c r="AF50" i="10"/>
  <c r="AF48" i="10"/>
  <c r="AF47" i="10"/>
  <c r="AF45" i="10"/>
  <c r="AF43" i="10"/>
  <c r="AF42" i="10"/>
  <c r="Y19" i="26"/>
  <c r="Y17" i="26"/>
  <c r="Y15" i="26"/>
  <c r="Z20" i="26"/>
  <c r="Y20" i="26" s="1"/>
  <c r="Y13" i="26"/>
  <c r="D46" i="6"/>
  <c r="AK68" i="27" l="1"/>
  <c r="AJ68" i="27" s="1"/>
  <c r="A63" i="27" s="1" a="1"/>
  <c r="A63" i="27" s="1"/>
  <c r="Y16" i="26"/>
  <c r="Y14" i="26"/>
  <c r="Y18" i="26"/>
  <c r="B19" i="6"/>
  <c r="C20" i="9" s="1"/>
  <c r="E24" i="5" l="1"/>
  <c r="B23" i="19"/>
  <c r="Z14" i="19" s="1"/>
  <c r="B24" i="19"/>
  <c r="Z23" i="19" s="1"/>
  <c r="Y23" i="19" s="1"/>
  <c r="B25" i="19"/>
  <c r="Z22" i="19" s="1"/>
  <c r="B26" i="19"/>
  <c r="Z15" i="19" s="1"/>
  <c r="B27" i="19"/>
  <c r="B28" i="19"/>
  <c r="Z16" i="19" s="1"/>
  <c r="B31" i="19"/>
  <c r="B32" i="19"/>
  <c r="Z12" i="19" s="1"/>
  <c r="B17" i="19"/>
  <c r="B18" i="19"/>
  <c r="B19" i="19"/>
  <c r="B20" i="19"/>
  <c r="B13" i="19"/>
  <c r="B14" i="19"/>
  <c r="B20" i="20"/>
  <c r="B8" i="20"/>
  <c r="B16" i="20" s="1"/>
  <c r="F37" i="5"/>
  <c r="G37" i="5"/>
  <c r="I36" i="5"/>
  <c r="I33" i="5"/>
  <c r="H28" i="5"/>
  <c r="I28" i="5"/>
  <c r="I27" i="5"/>
  <c r="F16" i="5"/>
  <c r="H17" i="5"/>
  <c r="G16" i="5"/>
  <c r="C17" i="5"/>
  <c r="D17" i="5"/>
  <c r="D18" i="5" s="1"/>
  <c r="E17" i="5"/>
  <c r="E18" i="5" s="1"/>
  <c r="C20" i="5"/>
  <c r="D20" i="5"/>
  <c r="F20" i="5" s="1"/>
  <c r="C21" i="5"/>
  <c r="D21" i="5"/>
  <c r="F21" i="5" s="1"/>
  <c r="D22" i="5"/>
  <c r="F22" i="5" s="1"/>
  <c r="C23" i="5"/>
  <c r="G23" i="5" s="1"/>
  <c r="D23" i="5"/>
  <c r="C24" i="5"/>
  <c r="D24" i="5"/>
  <c r="AK76" i="24"/>
  <c r="AJ76" i="24" s="1"/>
  <c r="AK75" i="24"/>
  <c r="AJ75" i="24" s="1"/>
  <c r="AK74" i="24"/>
  <c r="AJ74" i="24" s="1"/>
  <c r="AK73" i="24"/>
  <c r="AJ73" i="24" s="1"/>
  <c r="AK72" i="24"/>
  <c r="AJ72" i="24" s="1"/>
  <c r="AK71" i="24"/>
  <c r="AJ71" i="24" s="1"/>
  <c r="AK70" i="24"/>
  <c r="AJ70" i="24" s="1"/>
  <c r="AK69" i="24"/>
  <c r="AJ69" i="24" s="1"/>
  <c r="AK67" i="24"/>
  <c r="AJ67" i="24" s="1"/>
  <c r="AK66" i="24"/>
  <c r="AJ66" i="24" s="1"/>
  <c r="AK65" i="24"/>
  <c r="AJ65" i="24" s="1"/>
  <c r="D49" i="24"/>
  <c r="D54" i="24" s="1"/>
  <c r="D48" i="24"/>
  <c r="D53" i="24" s="1"/>
  <c r="D47" i="24"/>
  <c r="D52" i="24" s="1"/>
  <c r="D46" i="24"/>
  <c r="D51" i="24" s="1"/>
  <c r="B33" i="24"/>
  <c r="B20" i="24"/>
  <c r="B15" i="24"/>
  <c r="AG67" i="23"/>
  <c r="AF67" i="23"/>
  <c r="AG66" i="23"/>
  <c r="AF66" i="23"/>
  <c r="AG65" i="23"/>
  <c r="AF65" i="23" s="1"/>
  <c r="AG64" i="23"/>
  <c r="AF64" i="23"/>
  <c r="AG63" i="23"/>
  <c r="AF63" i="23" s="1"/>
  <c r="AG62" i="23"/>
  <c r="AF62" i="23"/>
  <c r="AG61" i="23"/>
  <c r="AF61" i="23"/>
  <c r="AG60" i="23"/>
  <c r="AF60" i="23"/>
  <c r="AG59" i="23"/>
  <c r="AF59" i="23" s="1"/>
  <c r="AG58" i="23"/>
  <c r="AF58" i="23"/>
  <c r="AG57" i="23"/>
  <c r="AF57" i="23"/>
  <c r="AG56" i="23"/>
  <c r="AF56" i="23"/>
  <c r="AG55" i="23"/>
  <c r="AF55" i="23"/>
  <c r="AG54" i="23"/>
  <c r="AF54" i="23"/>
  <c r="AG53" i="23"/>
  <c r="AF53" i="23" s="1"/>
  <c r="AG52" i="23"/>
  <c r="AF52" i="23" s="1"/>
  <c r="AG51" i="23"/>
  <c r="AF51" i="23"/>
  <c r="AG50" i="23"/>
  <c r="AF50" i="23"/>
  <c r="AG49" i="23"/>
  <c r="AF49" i="23"/>
  <c r="AG48" i="23"/>
  <c r="AF48" i="23"/>
  <c r="AG46" i="23"/>
  <c r="AF46" i="23"/>
  <c r="AG45" i="23"/>
  <c r="AF45" i="23"/>
  <c r="AG44" i="23"/>
  <c r="AF44" i="23"/>
  <c r="AG43" i="23"/>
  <c r="AF43" i="23"/>
  <c r="AG42" i="23"/>
  <c r="AF42" i="23"/>
  <c r="AG41" i="23"/>
  <c r="AF41" i="23" s="1"/>
  <c r="A39" i="23" s="1" a="1"/>
  <c r="A39" i="23" s="1"/>
  <c r="AG40" i="23"/>
  <c r="AF40" i="23"/>
  <c r="AG39" i="23"/>
  <c r="AF39" i="23"/>
  <c r="C33" i="23"/>
  <c r="C34" i="23" s="1"/>
  <c r="B33" i="23"/>
  <c r="B34" i="23" s="1"/>
  <c r="B35" i="23" s="1"/>
  <c r="D32" i="23"/>
  <c r="AG47" i="23" s="1"/>
  <c r="AF47" i="23" s="1"/>
  <c r="D31" i="23"/>
  <c r="D30" i="23"/>
  <c r="D29" i="23"/>
  <c r="D28" i="23"/>
  <c r="D27" i="23"/>
  <c r="D26" i="23"/>
  <c r="D25" i="23"/>
  <c r="D24" i="23"/>
  <c r="D23" i="23"/>
  <c r="D33" i="23" s="1"/>
  <c r="D34" i="23" s="1"/>
  <c r="C21" i="23"/>
  <c r="B21" i="23"/>
  <c r="D20" i="23"/>
  <c r="D19" i="23"/>
  <c r="D18" i="23"/>
  <c r="D17" i="23"/>
  <c r="D21" i="23" s="1"/>
  <c r="D15" i="23"/>
  <c r="C15" i="23"/>
  <c r="B15" i="23"/>
  <c r="D14" i="23"/>
  <c r="D13" i="23"/>
  <c r="D11" i="23"/>
  <c r="Z11" i="19" l="1"/>
  <c r="Z21" i="19"/>
  <c r="Z9" i="19"/>
  <c r="G17" i="5"/>
  <c r="G18" i="5" s="1"/>
  <c r="C18" i="5"/>
  <c r="G24" i="5"/>
  <c r="D37" i="5"/>
  <c r="C37" i="5"/>
  <c r="C25" i="5"/>
  <c r="D25" i="5"/>
  <c r="E37" i="5"/>
  <c r="AK63" i="24"/>
  <c r="AJ63" i="24" s="1"/>
  <c r="AK64" i="24"/>
  <c r="AJ64" i="24" s="1"/>
  <c r="D35" i="23"/>
  <c r="C35" i="23"/>
  <c r="D38" i="5" l="1"/>
  <c r="D39" i="5" s="1"/>
  <c r="C38" i="5"/>
  <c r="AK68" i="24"/>
  <c r="AJ68" i="24" s="1"/>
  <c r="A63" i="24" s="1" a="1"/>
  <c r="A63" i="24" s="1"/>
  <c r="B21" i="24"/>
  <c r="B34" i="24" s="1"/>
  <c r="B35" i="24" s="1"/>
  <c r="B17" i="20"/>
  <c r="C39" i="5" l="1"/>
  <c r="C40" i="5" s="1"/>
  <c r="D40" i="5"/>
  <c r="B18" i="20" l="1"/>
  <c r="K7" i="11" l="1"/>
  <c r="K8" i="11"/>
  <c r="K9" i="11"/>
  <c r="K10" i="11"/>
  <c r="K11" i="11"/>
  <c r="K12" i="11"/>
  <c r="K13" i="11"/>
  <c r="K14" i="11"/>
  <c r="K15" i="11"/>
  <c r="K16" i="11"/>
  <c r="K17" i="11"/>
  <c r="K18" i="11"/>
  <c r="K19" i="11"/>
  <c r="K20" i="11"/>
  <c r="K21" i="11"/>
  <c r="K22" i="11"/>
  <c r="K23" i="11"/>
  <c r="K24" i="11"/>
  <c r="K25" i="11"/>
  <c r="K26" i="11"/>
  <c r="K27" i="11"/>
  <c r="K28" i="11"/>
  <c r="K29" i="11"/>
  <c r="K30" i="11"/>
  <c r="K31" i="11"/>
  <c r="K32" i="11"/>
  <c r="K6" i="11"/>
  <c r="B19" i="20" l="1"/>
  <c r="B21" i="20" l="1"/>
  <c r="Y21" i="19"/>
  <c r="Y19" i="19"/>
  <c r="Y18" i="19"/>
  <c r="Y16" i="19"/>
  <c r="Y22" i="19"/>
  <c r="Y10" i="19"/>
  <c r="D30" i="10"/>
  <c r="B30" i="9" s="1"/>
  <c r="D29" i="10"/>
  <c r="B29" i="9" s="1"/>
  <c r="D17" i="10"/>
  <c r="B17" i="9" l="1"/>
  <c r="AG44" i="10"/>
  <c r="AF44" i="10" s="1"/>
  <c r="Y17" i="19"/>
  <c r="Y11" i="19"/>
  <c r="Y20" i="19"/>
  <c r="Y15" i="19"/>
  <c r="D24" i="10"/>
  <c r="D25" i="10"/>
  <c r="D26" i="10"/>
  <c r="B26" i="9" s="1"/>
  <c r="D27" i="10"/>
  <c r="B27" i="9" s="1"/>
  <c r="D28" i="10"/>
  <c r="B28" i="9" s="1"/>
  <c r="D31" i="10"/>
  <c r="D32" i="10"/>
  <c r="D18" i="10"/>
  <c r="B18" i="9" s="1"/>
  <c r="D19" i="10"/>
  <c r="B19" i="9" s="1"/>
  <c r="D20" i="10"/>
  <c r="B20" i="9" s="1"/>
  <c r="D14" i="10"/>
  <c r="B14" i="9" s="1"/>
  <c r="D13" i="10"/>
  <c r="C15" i="10"/>
  <c r="AV155" i="22"/>
  <c r="AU155" i="22"/>
  <c r="AV154" i="22"/>
  <c r="AU154" i="22"/>
  <c r="B31" i="9" l="1"/>
  <c r="AG51" i="10"/>
  <c r="AF51" i="10" s="1"/>
  <c r="B24" i="9"/>
  <c r="AG49" i="10"/>
  <c r="AF49" i="10" s="1"/>
  <c r="B25" i="9"/>
  <c r="B32" i="9"/>
  <c r="B13" i="9"/>
  <c r="D15" i="10"/>
  <c r="AU152" i="21" l="1"/>
  <c r="AV152" i="21"/>
  <c r="AU153" i="21"/>
  <c r="AV153" i="21"/>
  <c r="D11" i="10"/>
  <c r="B11" i="19" s="1"/>
  <c r="D47" i="6"/>
  <c r="D48" i="6"/>
  <c r="D49" i="6"/>
  <c r="B33" i="19"/>
  <c r="B21" i="19"/>
  <c r="Y14" i="19" s="1"/>
  <c r="D14" i="9"/>
  <c r="B48" i="16"/>
  <c r="C23" i="16"/>
  <c r="D23" i="16"/>
  <c r="B23" i="16"/>
  <c r="C16" i="16"/>
  <c r="D16" i="16"/>
  <c r="B16" i="16"/>
  <c r="B20" i="16" s="1"/>
  <c r="C17" i="16"/>
  <c r="D17" i="16"/>
  <c r="B23" i="5"/>
  <c r="H27" i="5"/>
  <c r="C33" i="10"/>
  <c r="B33" i="10"/>
  <c r="D23" i="10"/>
  <c r="C21" i="10"/>
  <c r="B21" i="10"/>
  <c r="D21" i="10"/>
  <c r="D32" i="9"/>
  <c r="E30" i="9"/>
  <c r="E29" i="9"/>
  <c r="D28" i="9"/>
  <c r="D27" i="9"/>
  <c r="D26" i="9"/>
  <c r="E25" i="9"/>
  <c r="D24" i="9"/>
  <c r="E20" i="9"/>
  <c r="E39" i="7"/>
  <c r="E40" i="7"/>
  <c r="F39" i="7"/>
  <c r="F40" i="7"/>
  <c r="G39" i="7"/>
  <c r="G40" i="7"/>
  <c r="G38" i="7"/>
  <c r="F38" i="7"/>
  <c r="E38" i="7"/>
  <c r="G37" i="7"/>
  <c r="F37" i="7"/>
  <c r="E37" i="7"/>
  <c r="H36" i="7"/>
  <c r="H35" i="7"/>
  <c r="H34" i="7"/>
  <c r="H33" i="7"/>
  <c r="H32" i="7"/>
  <c r="H31" i="7"/>
  <c r="H30" i="7"/>
  <c r="H29" i="7"/>
  <c r="H28" i="7"/>
  <c r="H27" i="7"/>
  <c r="H24" i="7"/>
  <c r="H23" i="7"/>
  <c r="H22" i="7"/>
  <c r="H21" i="7"/>
  <c r="H20" i="7"/>
  <c r="H16" i="7"/>
  <c r="H17" i="7"/>
  <c r="H15" i="7"/>
  <c r="I32" i="5"/>
  <c r="I31" i="5"/>
  <c r="I30" i="5"/>
  <c r="I21" i="5"/>
  <c r="I23" i="5"/>
  <c r="I20" i="5"/>
  <c r="I16" i="5"/>
  <c r="H36" i="5"/>
  <c r="H35" i="5"/>
  <c r="H34" i="5"/>
  <c r="H33" i="5"/>
  <c r="H32" i="5"/>
  <c r="H30" i="5"/>
  <c r="H31" i="5"/>
  <c r="H29" i="5"/>
  <c r="B24" i="5"/>
  <c r="F24" i="5" s="1"/>
  <c r="E18" i="7"/>
  <c r="F18" i="7"/>
  <c r="G18" i="7"/>
  <c r="E25" i="7"/>
  <c r="F25" i="7"/>
  <c r="G25" i="7"/>
  <c r="B17" i="5"/>
  <c r="F17" i="5" s="1"/>
  <c r="F18" i="5" s="1"/>
  <c r="H37" i="7"/>
  <c r="H25" i="7"/>
  <c r="B21" i="9"/>
  <c r="H18" i="7"/>
  <c r="H38" i="7"/>
  <c r="H39" i="7"/>
  <c r="H40" i="7"/>
  <c r="B14" i="6"/>
  <c r="D37" i="7"/>
  <c r="C37" i="7"/>
  <c r="B37" i="7"/>
  <c r="D25" i="7"/>
  <c r="C25" i="7"/>
  <c r="B25" i="7"/>
  <c r="D18" i="7"/>
  <c r="C18" i="7"/>
  <c r="B18" i="7"/>
  <c r="B32" i="6"/>
  <c r="B38" i="7"/>
  <c r="B39" i="7"/>
  <c r="B40" i="7"/>
  <c r="C38" i="7"/>
  <c r="C39" i="7"/>
  <c r="C40" i="7"/>
  <c r="D38" i="7"/>
  <c r="D39" i="7"/>
  <c r="D40" i="7"/>
  <c r="B15" i="10"/>
  <c r="B23" i="9" l="1"/>
  <c r="E23" i="9" s="1"/>
  <c r="AG52" i="10"/>
  <c r="AF52" i="10" s="1"/>
  <c r="A42" i="10" s="1" a="1"/>
  <c r="A42" i="10" s="1"/>
  <c r="B18" i="6"/>
  <c r="AK68" i="6" s="1"/>
  <c r="E21" i="5"/>
  <c r="D51" i="6"/>
  <c r="H23" i="5"/>
  <c r="F23" i="5"/>
  <c r="F25" i="5" s="1"/>
  <c r="F38" i="5" s="1"/>
  <c r="F39" i="5" s="1"/>
  <c r="F40" i="5" s="1"/>
  <c r="B25" i="5"/>
  <c r="H24" i="5"/>
  <c r="B18" i="5"/>
  <c r="H18" i="5" s="1"/>
  <c r="B37" i="5"/>
  <c r="H37" i="5" s="1"/>
  <c r="D20" i="16"/>
  <c r="C20" i="16"/>
  <c r="D54" i="6"/>
  <c r="B15" i="19"/>
  <c r="D53" i="6"/>
  <c r="D52" i="6"/>
  <c r="E20" i="5" s="1"/>
  <c r="I25" i="5"/>
  <c r="B11" i="9"/>
  <c r="Y9" i="19"/>
  <c r="Y13" i="19"/>
  <c r="B34" i="19"/>
  <c r="I35" i="5"/>
  <c r="I29" i="5"/>
  <c r="D25" i="9"/>
  <c r="I17" i="5"/>
  <c r="I24" i="5"/>
  <c r="E27" i="9"/>
  <c r="E28" i="9"/>
  <c r="I22" i="5"/>
  <c r="C15" i="9"/>
  <c r="I34" i="5"/>
  <c r="E14" i="9"/>
  <c r="D13" i="9"/>
  <c r="E31" i="9"/>
  <c r="D31" i="9"/>
  <c r="D20" i="9"/>
  <c r="E26" i="9"/>
  <c r="E32" i="9"/>
  <c r="D30" i="9"/>
  <c r="D29" i="9"/>
  <c r="C33" i="9"/>
  <c r="E24" i="9"/>
  <c r="B34" i="10"/>
  <c r="B35" i="10" s="1"/>
  <c r="C34" i="10"/>
  <c r="C35" i="10" s="1"/>
  <c r="D33" i="10"/>
  <c r="B15" i="9"/>
  <c r="E13" i="9"/>
  <c r="D23" i="9" l="1"/>
  <c r="B33" i="9"/>
  <c r="B34" i="9" s="1"/>
  <c r="B35" i="9" s="1"/>
  <c r="E22" i="5"/>
  <c r="H22" i="5" s="1"/>
  <c r="AJ68" i="6"/>
  <c r="H21" i="5"/>
  <c r="G21" i="5"/>
  <c r="H20" i="5"/>
  <c r="G20" i="5"/>
  <c r="B38" i="5"/>
  <c r="B39" i="5" s="1"/>
  <c r="Y12" i="19"/>
  <c r="A42" i="19" s="1" a="1"/>
  <c r="A42" i="19" s="1"/>
  <c r="B20" i="6"/>
  <c r="B33" i="6" s="1"/>
  <c r="B34" i="6" s="1"/>
  <c r="B35" i="19"/>
  <c r="B31" i="26" s="1"/>
  <c r="I18" i="5"/>
  <c r="I37" i="5"/>
  <c r="D34" i="10"/>
  <c r="D35" i="10" s="1"/>
  <c r="E15" i="9"/>
  <c r="D15" i="9"/>
  <c r="E33" i="9" l="1"/>
  <c r="D33" i="9"/>
  <c r="E25" i="5"/>
  <c r="E38" i="5" s="1"/>
  <c r="E39" i="5" s="1"/>
  <c r="E40" i="5" s="1"/>
  <c r="G22" i="5"/>
  <c r="A63" i="6" a="1"/>
  <c r="A63" i="6" s="1"/>
  <c r="G25" i="5"/>
  <c r="G38" i="5" s="1"/>
  <c r="G39" i="5" s="1"/>
  <c r="G40" i="5" s="1"/>
  <c r="B40" i="5"/>
  <c r="D19" i="9"/>
  <c r="E19" i="9"/>
  <c r="D18" i="9"/>
  <c r="E18" i="9"/>
  <c r="C21" i="9"/>
  <c r="D17" i="9"/>
  <c r="E17" i="9"/>
  <c r="I38" i="5"/>
  <c r="H39" i="5" l="1"/>
  <c r="H40" i="5"/>
  <c r="H25" i="5"/>
  <c r="H38" i="5"/>
  <c r="D21" i="9"/>
  <c r="E21" i="9"/>
  <c r="C34" i="9"/>
  <c r="C35" i="9" s="1"/>
  <c r="I39" i="5"/>
  <c r="D34" i="9" l="1"/>
  <c r="D35" i="9" s="1"/>
  <c r="E34" i="9"/>
  <c r="I40" i="5"/>
  <c r="E35" i="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Manuel Solano</author>
  </authors>
  <commentList>
    <comment ref="D31" authorId="0" shapeId="0" xr:uid="{71276718-6761-4475-A62B-AF72165DF2E5}">
      <text>
        <r>
          <rPr>
            <b/>
            <sz val="9"/>
            <color indexed="81"/>
            <rFont val="Tahoma"/>
            <family val="2"/>
          </rPr>
          <t>Manuel Solano:</t>
        </r>
        <r>
          <rPr>
            <sz val="9"/>
            <color indexed="81"/>
            <rFont val="Tahoma"/>
            <family val="2"/>
          </rPr>
          <t xml:space="preserve">
Explain what additional costs are included compared to budget.</t>
        </r>
      </text>
    </comment>
    <comment ref="D32" authorId="0" shapeId="0" xr:uid="{16377C3F-C57A-435B-B26B-F8E6C44C80E5}">
      <text>
        <r>
          <rPr>
            <b/>
            <sz val="9"/>
            <color indexed="81"/>
            <rFont val="Tahoma"/>
            <family val="2"/>
          </rPr>
          <t>Manuel Solano:</t>
        </r>
        <r>
          <rPr>
            <sz val="9"/>
            <color indexed="81"/>
            <rFont val="Tahoma"/>
            <family val="2"/>
          </rPr>
          <t xml:space="preserve">
No greater than 15% Project funding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Manuel Solano</author>
  </authors>
  <commentList>
    <comment ref="G16" authorId="0" shapeId="0" xr:uid="{DEEE877A-F4A3-49B7-86B9-BEEDE0FD3523}">
      <text>
        <r>
          <rPr>
            <b/>
            <sz val="9"/>
            <color indexed="81"/>
            <rFont val="Tahoma"/>
            <family val="2"/>
          </rPr>
          <t>Manuel Solano:</t>
        </r>
        <r>
          <rPr>
            <sz val="9"/>
            <color indexed="81"/>
            <rFont val="Tahoma"/>
            <family val="2"/>
          </rPr>
          <t xml:space="preserve">
If the payment received is less than 50% of the budget or above 100% of the budget.</t>
        </r>
      </text>
    </comment>
    <comment ref="F20" authorId="0" shapeId="0" xr:uid="{F702CCAD-636A-4B0D-A202-D5E892BEF284}">
      <text>
        <r>
          <rPr>
            <b/>
            <sz val="9"/>
            <color indexed="81"/>
            <rFont val="Tahoma"/>
            <family val="2"/>
          </rPr>
          <t>Manuel Solano:</t>
        </r>
        <r>
          <rPr>
            <sz val="9"/>
            <color indexed="81"/>
            <rFont val="Tahoma"/>
            <family val="2"/>
          </rPr>
          <t xml:space="preserve">
If the Coordinator , Line Manager or Tutors receive less than 40% of the budget or above 100% of the budget.</t>
        </r>
      </text>
    </comment>
    <comment ref="G20" authorId="0" shapeId="0" xr:uid="{21D01E9F-725F-4349-9AEE-31B4835333CB}">
      <text>
        <r>
          <rPr>
            <b/>
            <sz val="9"/>
            <color indexed="81"/>
            <rFont val="Tahoma"/>
            <family val="2"/>
          </rPr>
          <t>Manuel Solano:</t>
        </r>
        <r>
          <rPr>
            <sz val="9"/>
            <color indexed="81"/>
            <rFont val="Tahoma"/>
            <family val="2"/>
          </rPr>
          <t xml:space="preserve">
If the Coordinator , Line Manager or Tutors receive less than 40% of the budget or above 100% of the budget.</t>
        </r>
      </text>
    </comment>
    <comment ref="F23" authorId="0" shapeId="0" xr:uid="{DEECB9F3-306F-46C7-A223-B0F2230B5857}">
      <text>
        <r>
          <rPr>
            <b/>
            <sz val="9"/>
            <color indexed="81"/>
            <rFont val="Tahoma"/>
            <family val="2"/>
          </rPr>
          <t>Manuel Solano:</t>
        </r>
        <r>
          <rPr>
            <sz val="9"/>
            <color indexed="81"/>
            <rFont val="Tahoma"/>
            <family val="2"/>
          </rPr>
          <t xml:space="preserve">
If the cost more than 50% of the budget or above 100% of the budget.</t>
        </r>
      </text>
    </comment>
    <comment ref="G23" authorId="0" shapeId="0" xr:uid="{38787280-102B-4BFA-9FC6-654D482F7AD6}">
      <text>
        <r>
          <rPr>
            <b/>
            <sz val="9"/>
            <color indexed="81"/>
            <rFont val="Tahoma"/>
            <family val="2"/>
          </rPr>
          <t>Manuel Solano:</t>
        </r>
        <r>
          <rPr>
            <sz val="9"/>
            <color indexed="81"/>
            <rFont val="Tahoma"/>
            <family val="2"/>
          </rPr>
          <t xml:space="preserve">
If the cost more than 50% of the budget or above 100% of the budget.</t>
        </r>
      </text>
    </comment>
    <comment ref="F35" authorId="0" shapeId="0" xr:uid="{D588CF8A-1B7A-47AB-9B34-0812845A9E12}">
      <text>
        <r>
          <rPr>
            <b/>
            <sz val="9"/>
            <color indexed="81"/>
            <rFont val="Tahoma"/>
            <family val="2"/>
          </rPr>
          <t>Manuel Solano:</t>
        </r>
        <r>
          <rPr>
            <sz val="9"/>
            <color indexed="81"/>
            <rFont val="Tahoma"/>
            <family val="2"/>
          </rPr>
          <t xml:space="preserve">
Explain what additional costs are included compared to budget.</t>
        </r>
      </text>
    </comment>
    <comment ref="G35" authorId="0" shapeId="0" xr:uid="{52ADDE4C-9674-4E39-A440-35ABBA17A82F}">
      <text>
        <r>
          <rPr>
            <b/>
            <sz val="9"/>
            <color indexed="81"/>
            <rFont val="Tahoma"/>
            <family val="2"/>
          </rPr>
          <t>Manuel Solano:</t>
        </r>
        <r>
          <rPr>
            <sz val="9"/>
            <color indexed="81"/>
            <rFont val="Tahoma"/>
            <family val="2"/>
          </rPr>
          <t xml:space="preserve">
Explain what additional costs are included compared to budget.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<sst xmlns="http://schemas.openxmlformats.org/spreadsheetml/2006/main" count="1527" uniqueCount="559">
  <si>
    <t>Work to be done on this template</t>
  </si>
  <si>
    <t>Update instructions tab, include explanation of line items, definition of on-costs, overheads, property costs, other costs</t>
  </si>
  <si>
    <t>Update FY23/24 annual financial templete</t>
  </si>
  <si>
    <t>Update dashboard</t>
  </si>
  <si>
    <t>Update budget tab</t>
  </si>
  <si>
    <t>Include family targets and maybe an automatic table for the site to forecast the variable income. Also, we may include a line for the reduction in income as a result of the evaluation performance.</t>
  </si>
  <si>
    <t>Format all cells according to Min and Max</t>
  </si>
  <si>
    <t>Interim financials template</t>
  </si>
  <si>
    <t>Jul-Dec 23 actuals</t>
  </si>
  <si>
    <t>Interim budget</t>
  </si>
  <si>
    <t xml:space="preserve">             Instructions</t>
  </si>
  <si>
    <r>
      <rPr>
        <b/>
        <sz val="12"/>
        <color rgb="FFFF0000"/>
        <rFont val="Arial"/>
        <family val="2"/>
      </rPr>
      <t>This template should be used for all financial reports that must be submitted in relation to FY26.</t>
    </r>
    <r>
      <rPr>
        <sz val="12"/>
        <color theme="1"/>
        <rFont val="Arial"/>
        <family val="2"/>
      </rPr>
      <t xml:space="preserve">
This template can be provided to your finance team so that your are able to comply with your financial reporting requirements. Refer to the </t>
    </r>
    <r>
      <rPr>
        <b/>
        <sz val="12"/>
        <color theme="1"/>
        <rFont val="Arial"/>
        <family val="2"/>
      </rPr>
      <t>Dashboard</t>
    </r>
    <r>
      <rPr>
        <sz val="12"/>
        <color theme="1"/>
        <rFont val="Arial"/>
        <family val="2"/>
      </rPr>
      <t xml:space="preserve"> tab to see variances between budgeted and actual expenditure. This is for your information only.
Due dates are specified in the </t>
    </r>
    <r>
      <rPr>
        <b/>
        <sz val="12"/>
        <color theme="1"/>
        <rFont val="Arial"/>
        <family val="2"/>
      </rPr>
      <t>HIPPY Data Collection Guide</t>
    </r>
    <r>
      <rPr>
        <sz val="12"/>
        <color theme="1"/>
        <rFont val="Arial"/>
        <family val="2"/>
      </rPr>
      <t xml:space="preserve"> which can be found on the HIPPY Online Library.
This reporting template should only be used for the relevant financial year. All figures should </t>
    </r>
    <r>
      <rPr>
        <b/>
        <sz val="12"/>
        <color theme="1"/>
        <rFont val="Arial"/>
        <family val="2"/>
      </rPr>
      <t>exclude</t>
    </r>
    <r>
      <rPr>
        <sz val="12"/>
        <color theme="1"/>
        <rFont val="Arial"/>
        <family val="2"/>
      </rPr>
      <t xml:space="preserve"> GST.
Contact the ETO Helpdesk (</t>
    </r>
    <r>
      <rPr>
        <sz val="12"/>
        <color theme="3"/>
        <rFont val="Arial"/>
        <family val="2"/>
      </rPr>
      <t>hippyaustraliaetosupport@bsl.org.au</t>
    </r>
    <r>
      <rPr>
        <sz val="12"/>
        <color theme="1"/>
        <rFont val="Arial"/>
        <family val="2"/>
      </rPr>
      <t>) if you require assistance with entering information into ETO.</t>
    </r>
  </si>
  <si>
    <t>Guidance on specific line items</t>
  </si>
  <si>
    <r>
      <rPr>
        <b/>
        <sz val="12"/>
        <color rgb="FFC00000"/>
        <rFont val="Arial"/>
        <family val="2"/>
      </rPr>
      <t>(Cell B:11)</t>
    </r>
    <r>
      <rPr>
        <b/>
        <sz val="12"/>
        <color theme="1"/>
        <rFont val="Arial"/>
        <family val="2"/>
      </rPr>
      <t xml:space="preserve"> - Previous Year Surplus: </t>
    </r>
    <r>
      <rPr>
        <sz val="12"/>
        <color theme="1"/>
        <rFont val="Arial"/>
        <family val="2"/>
      </rPr>
      <t xml:space="preserve">Allocate only the not-recalled or refunded to HIPPYsurplus from the previous financial year. </t>
    </r>
    <r>
      <rPr>
        <b/>
        <u/>
        <sz val="12"/>
        <color rgb="FFC00000"/>
        <rFont val="Arial"/>
        <family val="2"/>
      </rPr>
      <t>Do not allocate deficits.</t>
    </r>
  </si>
  <si>
    <r>
      <rPr>
        <b/>
        <sz val="12"/>
        <color rgb="FFC00000"/>
        <rFont val="Arial"/>
        <family val="2"/>
      </rPr>
      <t>(Cell B:13 &amp; C:13)</t>
    </r>
    <r>
      <rPr>
        <b/>
        <sz val="12"/>
        <color theme="1"/>
        <rFont val="Arial"/>
        <family val="2"/>
      </rPr>
      <t xml:space="preserve"> - Income from HIPPY Australia: </t>
    </r>
    <r>
      <rPr>
        <sz val="12"/>
        <color theme="1"/>
        <rFont val="Arial"/>
        <family val="2"/>
      </rPr>
      <t>Allocate all funding received from HIPPY Australia for the Financial Year.</t>
    </r>
  </si>
  <si>
    <r>
      <rPr>
        <b/>
        <sz val="12"/>
        <color rgb="FFC00000"/>
        <rFont val="Arial"/>
        <family val="2"/>
      </rPr>
      <t>(Cell B:14 &amp; C:14)</t>
    </r>
    <r>
      <rPr>
        <b/>
        <sz val="12"/>
        <color theme="1"/>
        <rFont val="Arial"/>
        <family val="2"/>
      </rPr>
      <t xml:space="preserve"> - Other income: </t>
    </r>
    <r>
      <rPr>
        <sz val="12"/>
        <color theme="1"/>
        <rFont val="Arial"/>
        <family val="2"/>
      </rPr>
      <t xml:space="preserve">Income different from HIPPY funding. Donations, grants, funding from other sources. </t>
    </r>
  </si>
  <si>
    <r>
      <rPr>
        <b/>
        <sz val="12"/>
        <color rgb="FFC00000"/>
        <rFont val="Arial"/>
        <family val="2"/>
      </rPr>
      <t>(Cell B:17 &amp; C:17)</t>
    </r>
    <r>
      <rPr>
        <b/>
        <sz val="12"/>
        <color rgb="FF000000"/>
        <rFont val="Arial"/>
        <family val="2"/>
      </rPr>
      <t xml:space="preserve"> - Coordinator(s): </t>
    </r>
    <r>
      <rPr>
        <sz val="12"/>
        <color rgb="FF000000"/>
        <rFont val="Arial"/>
        <family val="2"/>
      </rPr>
      <t xml:space="preserve">Allocate the Coordinator(s) Gross Salary based on the Full Time Equivalent </t>
    </r>
    <r>
      <rPr>
        <b/>
        <sz val="12"/>
        <color rgb="FF000000"/>
        <rFont val="Arial"/>
        <family val="2"/>
      </rPr>
      <t xml:space="preserve">(FTE) </t>
    </r>
    <r>
      <rPr>
        <sz val="12"/>
        <color rgb="FF000000"/>
        <rFont val="Arial"/>
        <family val="2"/>
      </rPr>
      <t xml:space="preserve">or work hours per year. This should be a minimum of 0.8 (FTE). 
</t>
    </r>
    <r>
      <rPr>
        <b/>
        <u/>
        <sz val="12"/>
        <color rgb="FFC00000"/>
        <rFont val="Arial"/>
        <family val="2"/>
      </rPr>
      <t>Do not include "On costs"</t>
    </r>
    <r>
      <rPr>
        <b/>
        <u/>
        <sz val="12"/>
        <color rgb="FF000000"/>
        <rFont val="Arial"/>
        <family val="2"/>
      </rPr>
      <t xml:space="preserve"> </t>
    </r>
    <r>
      <rPr>
        <sz val="12"/>
        <color rgb="FF000000"/>
        <rFont val="Arial"/>
        <family val="2"/>
      </rPr>
      <t xml:space="preserve">such as payroll tax, work compensation, work cover, superannuation, PAYG, allowances, or entitlements such as Personal Leave, Maternity Leave, Annual Leave Loading, Annual leave or Long Service Leave. </t>
    </r>
    <r>
      <rPr>
        <sz val="12"/>
        <color theme="1"/>
        <rFont val="Arial"/>
        <family val="2"/>
      </rPr>
      <t>Please include those related costs in</t>
    </r>
    <r>
      <rPr>
        <b/>
        <sz val="12"/>
        <color theme="1"/>
        <rFont val="Arial"/>
        <family val="2"/>
      </rPr>
      <t xml:space="preserve"> "Other employment" </t>
    </r>
    <r>
      <rPr>
        <b/>
        <sz val="12"/>
        <color rgb="FFC00000"/>
        <rFont val="Arial"/>
        <family val="2"/>
      </rPr>
      <t xml:space="preserve">(Cell B:20) </t>
    </r>
  </si>
  <si>
    <r>
      <rPr>
        <b/>
        <sz val="12"/>
        <color rgb="FFC00000"/>
        <rFont val="Arial"/>
        <family val="2"/>
      </rPr>
      <t>(Cell B:18 &amp; C:18)</t>
    </r>
    <r>
      <rPr>
        <b/>
        <sz val="12"/>
        <color rgb="FF000000"/>
        <rFont val="Arial"/>
        <family val="2"/>
      </rPr>
      <t xml:space="preserve"> - Coordinator(s): </t>
    </r>
    <r>
      <rPr>
        <sz val="12"/>
        <color rgb="FF000000"/>
        <rFont val="Arial"/>
        <family val="2"/>
      </rPr>
      <t xml:space="preserve">Allocate the Coordinator(s) Gross Salary based on the Full Time Equivalent </t>
    </r>
    <r>
      <rPr>
        <b/>
        <sz val="12"/>
        <color rgb="FF000000"/>
        <rFont val="Arial"/>
        <family val="2"/>
      </rPr>
      <t xml:space="preserve">(FTE) </t>
    </r>
    <r>
      <rPr>
        <sz val="12"/>
        <color rgb="FF000000"/>
        <rFont val="Arial"/>
        <family val="2"/>
      </rPr>
      <t xml:space="preserve">or work hours per year. This should be a minimum of 0.8 (FTE). 
</t>
    </r>
    <r>
      <rPr>
        <b/>
        <u/>
        <sz val="12"/>
        <color rgb="FFC00000"/>
        <rFont val="Arial"/>
        <family val="2"/>
      </rPr>
      <t>Do not include "On costs"</t>
    </r>
    <r>
      <rPr>
        <b/>
        <u/>
        <sz val="12"/>
        <color rgb="FF000000"/>
        <rFont val="Arial"/>
        <family val="2"/>
      </rPr>
      <t xml:space="preserve"> </t>
    </r>
    <r>
      <rPr>
        <sz val="12"/>
        <color rgb="FF000000"/>
        <rFont val="Arial"/>
        <family val="2"/>
      </rPr>
      <t xml:space="preserve">such as payroll tax, work compensation, work cover, superannuation, PAYG, allowances, or entitlements such as Personal Leave, Maternity Leave, Annual Leave Loading, Annual leave or Long Service Leave. </t>
    </r>
    <r>
      <rPr>
        <sz val="12"/>
        <color theme="1"/>
        <rFont val="Arial"/>
        <family val="2"/>
      </rPr>
      <t>Please include those related costs in</t>
    </r>
    <r>
      <rPr>
        <b/>
        <sz val="12"/>
        <color theme="1"/>
        <rFont val="Arial"/>
        <family val="2"/>
      </rPr>
      <t xml:space="preserve"> "Other employment" </t>
    </r>
    <r>
      <rPr>
        <b/>
        <sz val="12"/>
        <color rgb="FFC00000"/>
        <rFont val="Arial"/>
        <family val="2"/>
      </rPr>
      <t xml:space="preserve">(Cell B:20) </t>
    </r>
  </si>
  <si>
    <r>
      <rPr>
        <b/>
        <sz val="12"/>
        <color rgb="FFC00000"/>
        <rFont val="Arial"/>
        <family val="2"/>
      </rPr>
      <t>(Cell B:18 &amp; C:19)</t>
    </r>
    <r>
      <rPr>
        <b/>
        <sz val="12"/>
        <color theme="1"/>
        <rFont val="Arial"/>
        <family val="2"/>
      </rPr>
      <t xml:space="preserve"> - Tutor(s): </t>
    </r>
    <r>
      <rPr>
        <sz val="12"/>
        <color theme="1"/>
        <rFont val="Arial"/>
        <family val="2"/>
      </rPr>
      <t xml:space="preserve">Allocate the Tutors Gross Salary based on the Full Time Equivalent (FTE) or work hours per year. This should be a minimum of 15 hours per week equating to 0.4 (FTE). 
</t>
    </r>
    <r>
      <rPr>
        <b/>
        <u/>
        <sz val="12"/>
        <color rgb="FFC00000"/>
        <rFont val="Arial"/>
        <family val="2"/>
      </rPr>
      <t>Do not include "On costs"</t>
    </r>
    <r>
      <rPr>
        <sz val="12"/>
        <color theme="1"/>
        <rFont val="Arial"/>
        <family val="2"/>
      </rPr>
      <t xml:space="preserve"> such as payroll tax, work compensation, work cover, superannuation, PAYG, allowances, or entitlements such as Personal Leave, Maternity Leave, Annual Leave Loading, Annual leave or Long Service Leave. Please include those related costs in </t>
    </r>
    <r>
      <rPr>
        <b/>
        <sz val="12"/>
        <color theme="1"/>
        <rFont val="Arial"/>
        <family val="2"/>
      </rPr>
      <t xml:space="preserve">"Other employment" </t>
    </r>
    <r>
      <rPr>
        <b/>
        <sz val="12"/>
        <color rgb="FFC00000"/>
        <rFont val="Arial"/>
        <family val="2"/>
      </rPr>
      <t xml:space="preserve">(Cell B:20) </t>
    </r>
  </si>
  <si>
    <r>
      <rPr>
        <b/>
        <sz val="12"/>
        <color rgb="FFC00000"/>
        <rFont val="Arial"/>
        <family val="2"/>
      </rPr>
      <t>(Cell B:20 &amp; C:20)</t>
    </r>
    <r>
      <rPr>
        <b/>
        <sz val="12"/>
        <color theme="1"/>
        <rFont val="Arial"/>
        <family val="2"/>
      </rPr>
      <t xml:space="preserve"> - Other employment: </t>
    </r>
    <r>
      <rPr>
        <sz val="12"/>
        <color theme="1"/>
        <rFont val="Arial"/>
        <family val="2"/>
      </rPr>
      <t xml:space="preserve">Allocate all employment expenses directly incurred for the HIPPY Staff. Including "On costs" such as work compensation, work cover insurance, superannuation guarantee, additional superannuation, employment allowances, FBT payments, or entitlements such as Personal Leave, Maternity Leave, Annual Leave Loading, Annual Leave or Long Service Leave. You can also include recruitment costs when incurred for any HIPPY staff, WWCC, National Police Checks and any other expenses incurred by HIPPY Staff. </t>
    </r>
  </si>
  <si>
    <r>
      <rPr>
        <b/>
        <sz val="12"/>
        <color rgb="FFC00000"/>
        <rFont val="Arial"/>
        <family val="2"/>
      </rPr>
      <t>(Cell B:23 &amp; C:23)</t>
    </r>
    <r>
      <rPr>
        <b/>
        <sz val="12"/>
        <color theme="1"/>
        <rFont val="Arial"/>
        <family val="2"/>
      </rPr>
      <t xml:space="preserve"> - Property costs: </t>
    </r>
    <r>
      <rPr>
        <sz val="12"/>
        <color theme="1"/>
        <rFont val="Arial"/>
        <family val="2"/>
      </rPr>
      <t xml:space="preserve">Allocate any costs related to the lease or rent premises where HIPPY Staff operates. That includes physical locations such as shared offices, owned offices, lease desks, etc. It can be included in "outgoings" such as water rates, council rates, utilities, fire and safety checks, owners' corporations fees, etc. Only allocate 100% of the costs mentioned if the premises in which HIPPY staff and families operate are leased exclusively for the HIPPY Program. If the permissions are shared with the organisation, only allocate a portion of the costs. The revenue/shared costs formula explained at the bottom of this section could help to calculate those shared costs for the HIPPY Program. Sites can use a different methodology to calculate the portion of shared expenses. </t>
    </r>
    <r>
      <rPr>
        <b/>
        <sz val="12"/>
        <color theme="1"/>
        <rFont val="Arial"/>
        <family val="2"/>
      </rPr>
      <t xml:space="preserve">A site may be asked for the details and calculations of the shared costs if the allocations seem excessive or unreasonable. </t>
    </r>
  </si>
  <si>
    <r>
      <rPr>
        <b/>
        <sz val="12"/>
        <color rgb="FFC00000"/>
        <rFont val="Arial"/>
        <family val="2"/>
      </rPr>
      <t>(Cell B:24 &amp; C:24)</t>
    </r>
    <r>
      <rPr>
        <b/>
        <sz val="12"/>
        <color theme="1"/>
        <rFont val="Arial"/>
        <family val="2"/>
      </rPr>
      <t xml:space="preserve"> -  Materials &amp; resources: </t>
    </r>
    <r>
      <rPr>
        <sz val="12"/>
        <color theme="1"/>
        <rFont val="Arial"/>
        <family val="2"/>
      </rPr>
      <t>Any other materials required to run the HIPPY program. This could include costs of materials including printing and stationary, art supplies and resources used in HIPPY graduation celebrations etc.</t>
    </r>
  </si>
  <si>
    <r>
      <rPr>
        <b/>
        <sz val="12"/>
        <color rgb="FFC00000"/>
        <rFont val="Arial"/>
        <family val="2"/>
      </rPr>
      <t>(Cell B:25 &amp; C:25)</t>
    </r>
    <r>
      <rPr>
        <b/>
        <sz val="12"/>
        <color theme="1"/>
        <rFont val="Arial"/>
        <family val="2"/>
      </rPr>
      <t xml:space="preserve"> - Meetings &amp; gatherings: </t>
    </r>
    <r>
      <rPr>
        <sz val="12"/>
        <color theme="1"/>
        <rFont val="Arial"/>
        <family val="2"/>
      </rPr>
      <t>Allocate any expense incurred when conducting Gatherings and Group meetings to support the running of HIPPY (e.g. hire of rooms, catering and payment to guest speakers)</t>
    </r>
    <r>
      <rPr>
        <b/>
        <sz val="12"/>
        <color theme="1"/>
        <rFont val="Arial"/>
        <family val="2"/>
      </rPr>
      <t>.</t>
    </r>
  </si>
  <si>
    <r>
      <rPr>
        <b/>
        <sz val="12"/>
        <color rgb="FFC00000"/>
        <rFont val="Arial"/>
        <family val="2"/>
      </rPr>
      <t xml:space="preserve">(Cell B:26 &amp; C:26) </t>
    </r>
    <r>
      <rPr>
        <b/>
        <sz val="12"/>
        <color theme="1"/>
        <rFont val="Arial"/>
        <family val="2"/>
      </rPr>
      <t>- Office costs:</t>
    </r>
    <r>
      <rPr>
        <sz val="12"/>
        <color theme="1"/>
        <rFont val="Arial"/>
        <family val="2"/>
      </rPr>
      <t xml:space="preserve"> Allocate any purchase of equipment, office equipment, stationary, furniture, shared services such as photocopier leases, and internet used or partially used by the HIPPY program. </t>
    </r>
    <r>
      <rPr>
        <b/>
        <sz val="12"/>
        <color theme="1"/>
        <rFont val="Arial"/>
        <family val="2"/>
      </rPr>
      <t>Use the same formula for shared equipment or services for this category.</t>
    </r>
  </si>
  <si>
    <r>
      <rPr>
        <b/>
        <sz val="12"/>
        <color rgb="FFC00000"/>
        <rFont val="Arial"/>
        <family val="2"/>
      </rPr>
      <t>(Cell B:27 &amp; C:27)</t>
    </r>
    <r>
      <rPr>
        <b/>
        <sz val="12"/>
        <color theme="1"/>
        <rFont val="Arial"/>
        <family val="2"/>
      </rPr>
      <t xml:space="preserve"> - Promotional costs: </t>
    </r>
    <r>
      <rPr>
        <sz val="12"/>
        <color theme="1"/>
        <rFont val="Arial"/>
        <family val="2"/>
      </rPr>
      <t>Allocate all the costs incurred in promoting, distributing, and advertising any merchandise or material that helps to promote the HIPPY program in the local community, assisting in the recruitment and retention of families and tutors. This includes local radio/TV advertising, HIPPY-branded staff shirts, as well as any further promotional materials.</t>
    </r>
  </si>
  <si>
    <r>
      <rPr>
        <b/>
        <sz val="12"/>
        <color rgb="FFC00000"/>
        <rFont val="Arial"/>
        <family val="2"/>
      </rPr>
      <t>(Cell B:28 &amp; C:28)</t>
    </r>
    <r>
      <rPr>
        <b/>
        <sz val="12"/>
        <color theme="1"/>
        <rFont val="Arial"/>
        <family val="2"/>
      </rPr>
      <t xml:space="preserve"> - Travel: </t>
    </r>
    <r>
      <rPr>
        <sz val="12"/>
        <color theme="1"/>
        <rFont val="Arial"/>
        <family val="2"/>
      </rPr>
      <t>Allocate any costs incurred by HIPPY staff when travelling in the operation of the HIPPY program. e.g. the Coordinator attending pre-service Coordinator training, attending home visits, Gatherings and other meeting or training sessions. These costs could include car rental, taxi, transport cards, fuel, airfares and accommodation, meal allowances while travelling, etc.</t>
    </r>
  </si>
  <si>
    <r>
      <rPr>
        <b/>
        <sz val="12"/>
        <color rgb="FFC00000"/>
        <rFont val="Arial"/>
        <family val="2"/>
      </rPr>
      <t>(Cell B:29 &amp; C:29)</t>
    </r>
    <r>
      <rPr>
        <b/>
        <sz val="12"/>
        <color theme="1"/>
        <rFont val="Arial"/>
        <family val="2"/>
      </rPr>
      <t xml:space="preserve"> - Professional development - Coordinator: </t>
    </r>
    <r>
      <rPr>
        <sz val="12"/>
        <color theme="1"/>
        <rFont val="Arial"/>
        <family val="2"/>
      </rPr>
      <t xml:space="preserve">Allocate any cost incurred in external professional development of the Coordinator, including the costs of any training, webinars, and courses. </t>
    </r>
  </si>
  <si>
    <r>
      <rPr>
        <b/>
        <sz val="12"/>
        <color rgb="FFC00000"/>
        <rFont val="Arial"/>
        <family val="2"/>
      </rPr>
      <t>(Cell B:30 &amp; C:30)</t>
    </r>
    <r>
      <rPr>
        <b/>
        <sz val="12"/>
        <color rgb="FF000000"/>
        <rFont val="Arial"/>
        <family val="2"/>
      </rPr>
      <t xml:space="preserve"> - Professional development - Tutor: </t>
    </r>
    <r>
      <rPr>
        <sz val="12"/>
        <color rgb="FF000000"/>
        <rFont val="Arial"/>
        <family val="2"/>
      </rPr>
      <t xml:space="preserve">Allocate any cost incurred in external professional development of the Tutor, including the costs of any training, webinars, and courses. </t>
    </r>
  </si>
  <si>
    <r>
      <rPr>
        <b/>
        <sz val="12"/>
        <color rgb="FFC00000"/>
        <rFont val="Arial"/>
        <family val="2"/>
      </rPr>
      <t>(Cell B:31 &amp; C:31)</t>
    </r>
    <r>
      <rPr>
        <b/>
        <sz val="12"/>
        <color theme="1"/>
        <rFont val="Arial"/>
        <family val="2"/>
      </rPr>
      <t xml:space="preserve"> - Other: </t>
    </r>
    <r>
      <rPr>
        <sz val="12"/>
        <color theme="1"/>
        <rFont val="Arial"/>
        <family val="2"/>
      </rPr>
      <t>Allocate any additional costs relevant to the HIPPY Program that are not identified above. Please, always provide a breakdown in the comments.</t>
    </r>
  </si>
  <si>
    <r>
      <rPr>
        <b/>
        <sz val="12"/>
        <color rgb="FFC00000"/>
        <rFont val="Arial"/>
        <family val="2"/>
      </rPr>
      <t>(Cell B:32 &amp; C:32)</t>
    </r>
    <r>
      <rPr>
        <b/>
        <sz val="12"/>
        <color rgb="FF000000"/>
        <rFont val="Arial"/>
        <family val="2"/>
      </rPr>
      <t xml:space="preserve"> - Overhead costs: </t>
    </r>
    <r>
      <rPr>
        <sz val="12"/>
        <color rgb="FF000000"/>
        <rFont val="Arial"/>
        <family val="2"/>
      </rPr>
      <t xml:space="preserve">The provider organisation can incur an actual or reasonable allocation of overhead costs in running HIPPY. There is a requirement for administrative assistance in the running of the program, which includes entering statistical and financial data into ETO and providing  Financial Statements for both the organisation and HIPPY. Overhead costs commonly include a portion of Management, Administration, Payroll, Finance and Human Resources time. The allocations may be different from site to site; however, there is an expectation of what it means to be reasonable for each site. The template has </t>
    </r>
    <r>
      <rPr>
        <b/>
        <sz val="12"/>
        <color rgb="FF000000"/>
        <rFont val="Arial"/>
        <family val="2"/>
      </rPr>
      <t>fixed  at 15%</t>
    </r>
    <r>
      <rPr>
        <sz val="12"/>
        <color rgb="FF000000"/>
        <rFont val="Arial"/>
        <family val="2"/>
      </rPr>
      <t xml:space="preserve"> of all expenditure (excluding overheads) to be allocated in this category. If overheads exceed that threshold, please explain why in the comments section.
Shared management and administrative resources can be difficult to quantify; therefore, refer to the revenue-sharing formula to apply a rate to those shared costs. Please see below for more information. </t>
    </r>
  </si>
  <si>
    <t>Revenue-Costs Sharing Formula</t>
  </si>
  <si>
    <t>Use this formula if the shared costs of your organisation are complex, or if you don't already have a formula to calculate shared costs. This method can be applied to shared expenses such as Property Costs, Office Costs, and Overhead Costs. You can use this formula in combination with other methods if necessary.</t>
  </si>
  <si>
    <t xml:space="preserve">The following formula calculates the percentage that HIPPY Funds represent in the total revenue of your organisation. You can use this percentage to calculate the rate you need to apply to shared HIPPY costs, such as property costs, overheads, work cover, etc. </t>
  </si>
  <si>
    <r>
      <t xml:space="preserve">[HIPPY Revenue]/[Total Revenue]=[Percentage of HIPPY Revenue within the Total Revenue of your organisation} = [Percentage of Costs Allocated to HIPPY Program]
E.G.  
1) Organisation Total Revenue = $1,000,000 </t>
    </r>
    <r>
      <rPr>
        <sz val="12"/>
        <color theme="1"/>
        <rFont val="Arial"/>
        <family val="2"/>
      </rPr>
      <t>(Includes HIPPY Funds)</t>
    </r>
    <r>
      <rPr>
        <b/>
        <sz val="12"/>
        <color theme="1"/>
        <rFont val="Arial"/>
        <family val="2"/>
      </rPr>
      <t xml:space="preserve">
2) HIPPY Funds Received = $200,000
3) $200,000 / $1,000,000 = 20% [HIPPY Revenue equals 20% of the Total Revenue of the organisation] = [Shared HIPPY Cost Rate]
Shared HIPPY Costs Rate =</t>
    </r>
    <r>
      <rPr>
        <b/>
        <sz val="12"/>
        <color rgb="FFC00000"/>
        <rFont val="Arial"/>
        <family val="2"/>
      </rPr>
      <t xml:space="preserve"> 20%
</t>
    </r>
    <r>
      <rPr>
        <b/>
        <sz val="12"/>
        <color theme="1"/>
        <rFont val="Arial"/>
        <family val="2"/>
      </rPr>
      <t xml:space="preserve">4) Total Rent for meeting room = $10,000 </t>
    </r>
    <r>
      <rPr>
        <sz val="12"/>
        <color theme="1"/>
        <rFont val="Arial"/>
        <family val="2"/>
      </rPr>
      <t xml:space="preserve">(meeting room shared with the organisation)
</t>
    </r>
    <r>
      <rPr>
        <b/>
        <sz val="12"/>
        <color theme="1"/>
        <rFont val="Arial"/>
        <family val="2"/>
      </rPr>
      <t xml:space="preserve">5) Meeting Room = $10,000 x </t>
    </r>
    <r>
      <rPr>
        <b/>
        <sz val="12"/>
        <color rgb="FFC00000"/>
        <rFont val="Arial"/>
        <family val="2"/>
      </rPr>
      <t>20%</t>
    </r>
    <r>
      <rPr>
        <b/>
        <sz val="12"/>
        <color theme="1"/>
        <rFont val="Arial"/>
        <family val="2"/>
      </rPr>
      <t xml:space="preserve"> = </t>
    </r>
    <r>
      <rPr>
        <b/>
        <sz val="12"/>
        <rFont val="Arial"/>
        <family val="2"/>
      </rPr>
      <t>$2,000</t>
    </r>
    <r>
      <rPr>
        <b/>
        <sz val="12"/>
        <color theme="1"/>
        <rFont val="Arial"/>
        <family val="2"/>
      </rPr>
      <t xml:space="preserve"> </t>
    </r>
    <r>
      <rPr>
        <sz val="12"/>
        <color theme="1"/>
        <rFont val="Arial"/>
        <family val="2"/>
      </rPr>
      <t xml:space="preserve">(that is the amount that corresponds to Property Costs for HIPPY Program) </t>
    </r>
  </si>
  <si>
    <r>
      <rPr>
        <b/>
        <sz val="12"/>
        <color rgb="FFC00000"/>
        <rFont val="Arial"/>
        <family val="2"/>
      </rPr>
      <t xml:space="preserve">(Cell B:38,39 to D:38,39) - </t>
    </r>
    <r>
      <rPr>
        <b/>
        <u/>
        <sz val="12"/>
        <color rgb="FFC00000"/>
        <rFont val="Arial"/>
        <family val="2"/>
      </rPr>
      <t>Balance Sheet - Contract Liability:</t>
    </r>
    <r>
      <rPr>
        <b/>
        <sz val="12"/>
        <color theme="1"/>
        <rFont val="Arial"/>
        <family val="2"/>
      </rPr>
      <t xml:space="preserve"> </t>
    </r>
    <r>
      <rPr>
        <sz val="12"/>
        <color theme="1"/>
        <rFont val="Arial"/>
        <family val="2"/>
      </rPr>
      <t xml:space="preserve">Please allocate the date and amount your organisation has as Contract Liability. This amount should equal the surplus approved in the previous FY. If this is not the case, please explain why the amounts differ. Perhaps the contract liability contains HIPPY unspent amounts from previous financial years. </t>
    </r>
  </si>
  <si>
    <t>Funding Calculator</t>
  </si>
  <si>
    <r>
      <t xml:space="preserve">This is a funding estimation tool you may wish to use to forecast your variable payment in January. Please refer to the </t>
    </r>
    <r>
      <rPr>
        <i/>
        <sz val="12"/>
        <color theme="1"/>
        <rFont val="Arial"/>
        <family val="2"/>
      </rPr>
      <t>Financial Changes for 2024 FAQ</t>
    </r>
    <r>
      <rPr>
        <sz val="12"/>
        <color theme="1"/>
        <rFont val="Arial"/>
        <family val="2"/>
      </rPr>
      <t xml:space="preserve"> and the </t>
    </r>
    <r>
      <rPr>
        <i/>
        <sz val="12"/>
        <color theme="1"/>
        <rFont val="Arial"/>
        <family val="2"/>
      </rPr>
      <t>New Financial Model 2024</t>
    </r>
    <r>
      <rPr>
        <sz val="12"/>
        <color theme="1"/>
        <rFont val="Arial"/>
        <family val="2"/>
      </rPr>
      <t xml:space="preserve"> presentation on the LMS for further details.</t>
    </r>
  </si>
  <si>
    <t>HIPPY_TMP_952</t>
  </si>
  <si>
    <t>1 of 7</t>
  </si>
  <si>
    <t>Review Complete Reports</t>
  </si>
  <si>
    <t>Complete Tasks List</t>
  </si>
  <si>
    <t>Check List</t>
  </si>
  <si>
    <t>Biannual Actuals Report (Jan-Jun)</t>
  </si>
  <si>
    <t>Have you:</t>
  </si>
  <si>
    <t>Entered the FY22/23 Approved Surplus</t>
  </si>
  <si>
    <t>Verified and entered all income received</t>
  </si>
  <si>
    <t>Entered all HIPPY staff and other employment expenses</t>
  </si>
  <si>
    <r>
      <t xml:space="preserve">Recorded comments for all cells highlighted </t>
    </r>
    <r>
      <rPr>
        <b/>
        <sz val="12"/>
        <color theme="9"/>
        <rFont val="Arial"/>
        <family val="2"/>
      </rPr>
      <t>orange</t>
    </r>
  </si>
  <si>
    <t>Biannual Actuals Report (Jul-Dec)</t>
  </si>
  <si>
    <t xml:space="preserve">Budget </t>
  </si>
  <si>
    <t>Used the Funding Calculator to forecast your annual income</t>
  </si>
  <si>
    <t>Allocated at least $2,500 per 0.4 FTE for Tutors</t>
  </si>
  <si>
    <t>Remmuneration Details:</t>
  </si>
  <si>
    <t>Entered the awards for all HIPPY staff</t>
  </si>
  <si>
    <t>Entered the Full Time Equivalent (FTE) for all HIPPY staff</t>
  </si>
  <si>
    <t>Annual Financial Report</t>
  </si>
  <si>
    <t>Confirmed that the amounts recorded in the two Biannual Actuals reports match this report</t>
  </si>
  <si>
    <t>Certification:</t>
  </si>
  <si>
    <t>Has the CEO (or equivalent) signed the report</t>
  </si>
  <si>
    <t>Has the CFO (or equivalent) or Auditor signed the report</t>
  </si>
  <si>
    <t>Auditor's Opinion:</t>
  </si>
  <si>
    <t>Has an Auditor's Opinion been provided (only required if the Auditor signed the report</t>
  </si>
  <si>
    <t>© Brotherhood of St Laurence</t>
  </si>
  <si>
    <t>Completed Tasks:</t>
  </si>
  <si>
    <t>Outstading Tasks:</t>
  </si>
  <si>
    <t>Review Completed Reports</t>
  </si>
  <si>
    <t>Checklist</t>
  </si>
  <si>
    <t>Entered the previous FY Approved Surplus</t>
  </si>
  <si>
    <t>Entered the previous FY Approved Surplus (If not entered in Jul-Dec)</t>
  </si>
  <si>
    <r>
      <t xml:space="preserve">Entered the </t>
    </r>
    <r>
      <rPr>
        <b/>
        <sz val="12"/>
        <color theme="1"/>
        <rFont val="Arial"/>
        <family val="2"/>
      </rPr>
      <t>Contract Liability amount in your Balance Sheet</t>
    </r>
  </si>
  <si>
    <t>FY26/27 Budget</t>
  </si>
  <si>
    <t>Surplus Proposal</t>
  </si>
  <si>
    <t>Received confirmation from HIPPY about your eligibility to retain your surplus</t>
  </si>
  <si>
    <r>
      <t xml:space="preserve">Provided details about allocations above </t>
    </r>
    <r>
      <rPr>
        <b/>
        <sz val="12"/>
        <color theme="1"/>
        <rFont val="Arial"/>
        <family val="2"/>
      </rPr>
      <t>$4,000</t>
    </r>
  </si>
  <si>
    <t>Confirmed that the allocations recorded in the surplus proposal are in accordance with the Operations Guide</t>
  </si>
  <si>
    <t>The proposal has been certified by the CEO (or equivalent) or CFO (or equivalent)</t>
  </si>
  <si>
    <t>2 of 7</t>
  </si>
  <si>
    <t>HIPPY Biannual Actuals</t>
  </si>
  <si>
    <t>IMPORTANT</t>
  </si>
  <si>
    <r>
      <t xml:space="preserve">This should be entered as part of your </t>
    </r>
    <r>
      <rPr>
        <b/>
        <sz val="12"/>
        <color theme="1"/>
        <rFont val="Arial"/>
        <family val="2"/>
      </rPr>
      <t>Biannual Actuals Report</t>
    </r>
  </si>
  <si>
    <t>All figures must exclude GST</t>
  </si>
  <si>
    <t xml:space="preserve">Site Name: </t>
  </si>
  <si>
    <t>Reporting period:</t>
  </si>
  <si>
    <t>FY 23/24</t>
  </si>
  <si>
    <t>Cells in this column are linked to the instructions tab. Click on the Item.</t>
  </si>
  <si>
    <t>Jul-Dec 2023 Actuals</t>
  </si>
  <si>
    <t>Jan-Jun 2024 Actuals</t>
  </si>
  <si>
    <t>Total FY 23/24</t>
  </si>
  <si>
    <t>Comments (if needed)</t>
  </si>
  <si>
    <t>Approved FY22/23 surplus</t>
  </si>
  <si>
    <t>N/A</t>
  </si>
  <si>
    <t>Income from HIPPY Australia</t>
  </si>
  <si>
    <t>Income From HIPPY Activities</t>
  </si>
  <si>
    <t>Other income</t>
  </si>
  <si>
    <t>Operational Income</t>
  </si>
  <si>
    <t>Employment Expenses from HIPPY Activities</t>
  </si>
  <si>
    <t xml:space="preserve">Expenses from HIPPY Activities </t>
  </si>
  <si>
    <t>Coordinator(s)</t>
  </si>
  <si>
    <t>Line Manager(s)</t>
  </si>
  <si>
    <t>Tutors</t>
  </si>
  <si>
    <t>Other employment</t>
  </si>
  <si>
    <t>Employment Expenses</t>
  </si>
  <si>
    <t>Operating Expenses from HIPPY Activities</t>
  </si>
  <si>
    <t>Property costs</t>
  </si>
  <si>
    <t>Materials &amp; resources</t>
  </si>
  <si>
    <t>Meetings &amp; gatherings</t>
  </si>
  <si>
    <t>Office costs</t>
  </si>
  <si>
    <t>Promotional costs</t>
  </si>
  <si>
    <t>Travel</t>
  </si>
  <si>
    <t>Professional development - Coordinator</t>
  </si>
  <si>
    <t>Professional development - Tutors</t>
  </si>
  <si>
    <t xml:space="preserve">Other </t>
  </si>
  <si>
    <t>Overhead costs</t>
  </si>
  <si>
    <t>Operating Expenses</t>
  </si>
  <si>
    <t>Total Expenses</t>
  </si>
  <si>
    <t>Net Surplus/Deficit</t>
  </si>
  <si>
    <t>Orange cells to be reviewed</t>
  </si>
  <si>
    <t>HIPPY Jan-Jun Interim Budget</t>
  </si>
  <si>
    <r>
      <t xml:space="preserve">This should be entered on ETO as an </t>
    </r>
    <r>
      <rPr>
        <b/>
        <sz val="11"/>
        <color theme="1"/>
        <rFont val="Arial"/>
        <family val="2"/>
      </rPr>
      <t>Annual Budget Touchpoint</t>
    </r>
  </si>
  <si>
    <t>Reporting period</t>
  </si>
  <si>
    <t>Jan-Jun 2024</t>
  </si>
  <si>
    <t>Program Funding</t>
  </si>
  <si>
    <t>FY22/23 surplus</t>
  </si>
  <si>
    <t>Income for HIPPY Activities</t>
  </si>
  <si>
    <t>Remuneration Detail</t>
  </si>
  <si>
    <r>
      <rPr>
        <b/>
        <sz val="12"/>
        <color rgb="FFC00000"/>
        <rFont val="Arial"/>
        <family val="2"/>
      </rPr>
      <t>(A)</t>
    </r>
    <r>
      <rPr>
        <b/>
        <sz val="12"/>
        <color rgb="FF00385D"/>
        <rFont val="Arial"/>
        <family val="2"/>
      </rPr>
      <t xml:space="preserve">             If Award/EBA known</t>
    </r>
  </si>
  <si>
    <r>
      <rPr>
        <b/>
        <sz val="12"/>
        <color rgb="FFC00000"/>
        <rFont val="Arial"/>
        <family val="2"/>
      </rPr>
      <t xml:space="preserve">(B) </t>
    </r>
    <r>
      <rPr>
        <b/>
        <sz val="12"/>
        <color rgb="FF00385D"/>
        <rFont val="Arial"/>
        <family val="2"/>
      </rPr>
      <t xml:space="preserve">      If Award/EBA unknown</t>
    </r>
  </si>
  <si>
    <t>1)</t>
  </si>
  <si>
    <r>
      <t xml:space="preserve">Award/EBA </t>
    </r>
    <r>
      <rPr>
        <b/>
        <sz val="10"/>
        <color theme="0"/>
        <rFont val="Arial"/>
        <family val="2"/>
      </rPr>
      <t>(Select from drop-down)</t>
    </r>
  </si>
  <si>
    <r>
      <t xml:space="preserve">Award/EBA Level </t>
    </r>
    <r>
      <rPr>
        <b/>
        <sz val="10"/>
        <color theme="0"/>
        <rFont val="Arial"/>
        <family val="2"/>
      </rPr>
      <t>(Select from drop-down)</t>
    </r>
  </si>
  <si>
    <t>Award/EBA</t>
  </si>
  <si>
    <r>
      <t xml:space="preserve">Gross Salary per Year </t>
    </r>
    <r>
      <rPr>
        <b/>
        <sz val="9"/>
        <color theme="0"/>
        <rFont val="Arial"/>
        <family val="2"/>
      </rPr>
      <t>(Include 1 FTE)</t>
    </r>
  </si>
  <si>
    <t>Coordinator 1</t>
  </si>
  <si>
    <t>Coordinator 2 (if applicable)</t>
  </si>
  <si>
    <t>Line Manager</t>
  </si>
  <si>
    <r>
      <rPr>
        <b/>
        <sz val="14"/>
        <color rgb="FFC00000"/>
        <rFont val="Calibri"/>
        <family val="2"/>
        <scheme val="minor"/>
      </rPr>
      <t>2)</t>
    </r>
    <r>
      <rPr>
        <b/>
        <sz val="14"/>
        <color theme="1"/>
        <rFont val="Calibri"/>
        <family val="2"/>
        <scheme val="minor"/>
      </rPr>
      <t xml:space="preserve"> </t>
    </r>
  </si>
  <si>
    <r>
      <t xml:space="preserve">FTE </t>
    </r>
    <r>
      <rPr>
        <b/>
        <sz val="8"/>
        <color theme="0"/>
        <rFont val="Arial"/>
        <family val="2"/>
      </rPr>
      <t>(Values between 0.1 - 1)</t>
    </r>
  </si>
  <si>
    <t>Annual Remuneration (FTE)</t>
  </si>
  <si>
    <t>3)</t>
  </si>
  <si>
    <t>On costs</t>
  </si>
  <si>
    <t>Total Annual Remuneration</t>
  </si>
  <si>
    <t>4)</t>
  </si>
  <si>
    <t>2 of 6</t>
  </si>
  <si>
    <t>Jul-Dec 2025
(excl GST)</t>
  </si>
  <si>
    <t>Jan-Jun 2026
(excl GST)</t>
  </si>
  <si>
    <t>Comments (if required)</t>
  </si>
  <si>
    <t>Previous FY approved surplus</t>
  </si>
  <si>
    <t>Contract Liability - Balance Sheet</t>
  </si>
  <si>
    <t>Contract Liability as of [Date]</t>
  </si>
  <si>
    <t>Contract Liability - Amount</t>
  </si>
  <si>
    <t>3 of 7</t>
  </si>
  <si>
    <t>HIPPY Annual Financials</t>
  </si>
  <si>
    <r>
      <t xml:space="preserve">This should be entered on ETO as an </t>
    </r>
    <r>
      <rPr>
        <b/>
        <sz val="11"/>
        <color theme="1"/>
        <rFont val="Arial"/>
        <family val="2"/>
      </rPr>
      <t>Annual Financial Report</t>
    </r>
  </si>
  <si>
    <t>This template must be uploaded to ETO, and if an Auditor certified this report, the Auditor's Opinion must also be uploaded.</t>
  </si>
  <si>
    <t>Amount
(excl GST)</t>
  </si>
  <si>
    <t xml:space="preserve">Employment Expenses from HIPPY Activities </t>
  </si>
  <si>
    <t xml:space="preserve">Operating Expenses from HIPPY Activities </t>
  </si>
  <si>
    <t>Surplus/Deficit</t>
  </si>
  <si>
    <r>
      <rPr>
        <b/>
        <u/>
        <sz val="12"/>
        <color theme="1"/>
        <rFont val="Arial"/>
        <family val="2"/>
      </rPr>
      <t>Note:</t>
    </r>
    <r>
      <rPr>
        <sz val="12"/>
        <color theme="1"/>
        <rFont val="Arial"/>
        <family val="2"/>
      </rPr>
      <t xml:space="preserve"> 
1) To certify this report it will need to be  either printed, signed and then scanned or a digital siginature added. 
2) Both, </t>
    </r>
    <r>
      <rPr>
        <b/>
        <u/>
        <sz val="12"/>
        <color theme="1"/>
        <rFont val="Arial"/>
        <family val="2"/>
      </rPr>
      <t>CEO and CFO (or equivalent)</t>
    </r>
    <r>
      <rPr>
        <sz val="12"/>
        <color theme="1"/>
        <rFont val="Arial"/>
        <family val="2"/>
      </rPr>
      <t xml:space="preserve"> must sign the report.
3) The CFO must be a member of:
     a) Certified Practicing Accountant;
     b) Institute of Public Accountants in Australia; or
     c) Institute of Chartered Accountants in Australia
4) IF, the CEO is not available, a Board Member or equivalent can sign the reports on behalf of the CEO.
5) IF, the CFO is not available, the Finance Manager, or equivalent can sign the reports on behalf of the CFO as long as they are members of the above certified bodies.
5) IF, the CFO (or equivalent) is not a member of the above certified bodies, the report needs an </t>
    </r>
    <r>
      <rPr>
        <b/>
        <u/>
        <sz val="12"/>
        <color theme="1"/>
        <rFont val="Arial"/>
        <family val="2"/>
      </rPr>
      <t>Auditor's Opinion</t>
    </r>
    <r>
      <rPr>
        <sz val="12"/>
        <color theme="1"/>
        <rFont val="Arial"/>
        <family val="2"/>
      </rPr>
      <t xml:space="preserve"> that reviews and certifies the use of HIPPY funding. </t>
    </r>
    <r>
      <rPr>
        <b/>
        <sz val="12"/>
        <color theme="1"/>
        <rFont val="Arial"/>
        <family val="2"/>
      </rPr>
      <t>The auditor must sign the report and the Auditor's Opinion must be uploaded to ETO in addition to this report.</t>
    </r>
  </si>
  <si>
    <r>
      <t xml:space="preserve">The two parties signing this report are certifying that:
</t>
    </r>
    <r>
      <rPr>
        <sz val="12"/>
        <color theme="1"/>
        <rFont val="Arial"/>
        <family val="2"/>
      </rPr>
      <t xml:space="preserve">- These details provided are a true and accurate representation of the HIPPY program being delivered at your site at the time of certification
- That you are lodging an official statement and can be held accountable for providing false, inaccurate or misleading information. 
</t>
    </r>
  </si>
  <si>
    <t>CEO (or equivalent) signature</t>
  </si>
  <si>
    <r>
      <t xml:space="preserve">CFO (or equivalent)/Auditor's signature </t>
    </r>
    <r>
      <rPr>
        <b/>
        <sz val="12"/>
        <color rgb="FFFF0000"/>
        <rFont val="Arial"/>
        <family val="2"/>
      </rPr>
      <t>(Auditor's Opinion required)</t>
    </r>
  </si>
  <si>
    <r>
      <rPr>
        <b/>
        <sz val="12"/>
        <color rgb="FF000000"/>
        <rFont val="Arial"/>
        <family val="2"/>
      </rPr>
      <t>Name:</t>
    </r>
    <r>
      <rPr>
        <sz val="12"/>
        <color rgb="FF000000"/>
        <rFont val="Arial"/>
        <family val="2"/>
      </rPr>
      <t xml:space="preserve"> </t>
    </r>
    <r>
      <rPr>
        <sz val="12"/>
        <color rgb="FFBFBFBF"/>
        <rFont val="Arial"/>
        <family val="2"/>
      </rPr>
      <t xml:space="preserve">___________________________________________   </t>
    </r>
  </si>
  <si>
    <r>
      <rPr>
        <b/>
        <sz val="12"/>
        <color rgb="FF000000"/>
        <rFont val="Arial"/>
        <family val="2"/>
      </rPr>
      <t>Role:</t>
    </r>
    <r>
      <rPr>
        <sz val="12"/>
        <color rgb="FF000000"/>
        <rFont val="Arial"/>
        <family val="2"/>
      </rPr>
      <t xml:space="preserve"> </t>
    </r>
    <r>
      <rPr>
        <sz val="12"/>
        <color rgb="FFBFBFBF"/>
        <rFont val="Arial"/>
        <family val="2"/>
      </rPr>
      <t xml:space="preserve">___________________________________________   </t>
    </r>
  </si>
  <si>
    <r>
      <rPr>
        <b/>
        <sz val="12"/>
        <color rgb="FF000000"/>
        <rFont val="Arial"/>
        <family val="2"/>
      </rPr>
      <t xml:space="preserve">Signed: </t>
    </r>
    <r>
      <rPr>
        <sz val="12"/>
        <color rgb="FFBFBFBF"/>
        <rFont val="Arial"/>
        <family val="2"/>
      </rPr>
      <t xml:space="preserve">___________________________________________     </t>
    </r>
  </si>
  <si>
    <t>4 of 7</t>
  </si>
  <si>
    <t>HIPPY Budget</t>
  </si>
  <si>
    <r>
      <t xml:space="preserve">This should be entered on ETO as an </t>
    </r>
    <r>
      <rPr>
        <b/>
        <sz val="11"/>
        <color theme="1"/>
        <rFont val="Arial"/>
        <family val="2"/>
      </rPr>
      <t>Annual Budget Report</t>
    </r>
  </si>
  <si>
    <t>FY26/27 (Jul-Dec 2026)</t>
  </si>
  <si>
    <r>
      <t xml:space="preserve">If Award/EBA is not in the drop-down list below, use </t>
    </r>
    <r>
      <rPr>
        <b/>
        <sz val="9"/>
        <color rgb="FFFF0000"/>
        <rFont val="Arial"/>
        <family val="2"/>
      </rPr>
      <t>(B)</t>
    </r>
  </si>
  <si>
    <t>5 of 7</t>
  </si>
  <si>
    <t>FY 26/27 (Jan-Jun 2027)</t>
  </si>
  <si>
    <t>HIPPY Surplus Proposal</t>
  </si>
  <si>
    <t>Do not complete this template unless you have been asked to by HIPPY Australia</t>
  </si>
  <si>
    <t>Comments must be provided detailing the nature of any expenditure. Any expenditure without sufficient details will not be approved.</t>
  </si>
  <si>
    <t>No more than two resubmissions will be permitted. Please provide as many details as possible.</t>
  </si>
  <si>
    <t>It is recommended that your finance manager review the surplus proposal before submission.</t>
  </si>
  <si>
    <t>After completion, this information must be entered into ETO using the surplus proposal touchpoint.</t>
  </si>
  <si>
    <t>Surplus period:</t>
  </si>
  <si>
    <t>Surplus:</t>
  </si>
  <si>
    <r>
      <t xml:space="preserve">Use the </t>
    </r>
    <r>
      <rPr>
        <b/>
        <sz val="11"/>
        <color rgb="FFF97B10"/>
        <rFont val="Arial"/>
        <family val="2"/>
      </rPr>
      <t>Enter</t>
    </r>
    <r>
      <rPr>
        <sz val="11"/>
        <color rgb="FFF97B10"/>
        <rFont val="Arial"/>
        <family val="2"/>
      </rPr>
      <t xml:space="preserve"> key to expand these cells if more space is required.</t>
    </r>
  </si>
  <si>
    <t xml:space="preserve">Employment </t>
  </si>
  <si>
    <t xml:space="preserve">Operations </t>
  </si>
  <si>
    <t>Other categories not specified above</t>
  </si>
  <si>
    <t>Total Allocated</t>
  </si>
  <si>
    <t>Percentage of surplus</t>
  </si>
  <si>
    <t>Reasons for the funds not being used during the financial year</t>
  </si>
  <si>
    <t>6 of 7</t>
  </si>
  <si>
    <t>HIPPY FY 25/26 Financial Dashboard</t>
  </si>
  <si>
    <t>This dashboard supports you to track your actual income and expenditure against your FY 23/24 budget. You can enter notes into the comments section for your own reference. This dashboard does not need to be provided to HIPPY Australia.</t>
  </si>
  <si>
    <t>Actuals</t>
  </si>
  <si>
    <t>Budget</t>
  </si>
  <si>
    <t>Actual vs Budget ($$$)</t>
  </si>
  <si>
    <t>Actual vs Budget (%)</t>
  </si>
  <si>
    <t>Optional comments for your reference</t>
  </si>
  <si>
    <t>7 of 7</t>
  </si>
  <si>
    <t>HIPPY Variable Funding Calculator</t>
  </si>
  <si>
    <t>Instructions</t>
  </si>
  <si>
    <r>
      <t xml:space="preserve">This calculator should be used to forecast your HIPPY Funding Payment for </t>
    </r>
    <r>
      <rPr>
        <b/>
        <sz val="12"/>
        <color rgb="FFFF0000"/>
        <rFont val="Arial"/>
        <family val="2"/>
      </rPr>
      <t>January 2025</t>
    </r>
    <r>
      <rPr>
        <sz val="12"/>
        <color theme="1"/>
        <rFont val="Arial"/>
        <family val="2"/>
      </rPr>
      <t>.
To use this calculator, select your site in the table below (B7). This will autopopulate the remoteness clasification (B8), the geographical classification (B9) and whether the site/HIPPY Provider was established that year (B11).
You will also need to populate the following fields:
- number of Age 3 families transitioning to Age 4 on 1 January (B9)
- number of  Age 4 families that graduated the previous year (B10)
- whether you are likely to have a performance payment based on meeting your recruitment and retention targets (B12), and
- any additional payments that have been approved by HIPPY Australia (B13).</t>
    </r>
  </si>
  <si>
    <t>Site Questions</t>
  </si>
  <si>
    <t>Response</t>
  </si>
  <si>
    <t>Site Name</t>
  </si>
  <si>
    <t>Geographical classification</t>
  </si>
  <si>
    <t>Number of families active Age 3 transitioning to Age 4</t>
  </si>
  <si>
    <t>Number of Age 4 families that graduated last year</t>
  </si>
  <si>
    <t>Are you a new HIPPY Provider this year?</t>
  </si>
  <si>
    <t>Are you eligible for a Performance Payment this year?</t>
  </si>
  <si>
    <t>Other payments</t>
  </si>
  <si>
    <t>Funding Variables</t>
  </si>
  <si>
    <t>Amount</t>
  </si>
  <si>
    <t>Regional Allowance</t>
  </si>
  <si>
    <t>Families Recruited</t>
  </si>
  <si>
    <t>Families Retained</t>
  </si>
  <si>
    <t>Establishment Payment</t>
  </si>
  <si>
    <t>Total Variable Payment</t>
  </si>
  <si>
    <t>SCHADS - FY25-26</t>
  </si>
  <si>
    <t>CSA - FY25-26</t>
  </si>
  <si>
    <t>Provisional Info</t>
  </si>
  <si>
    <t>SCHADS - Level 1 - pay point 1</t>
  </si>
  <si>
    <t>Albury-Wodonga</t>
  </si>
  <si>
    <t>30</t>
  </si>
  <si>
    <t>Inner Regional</t>
  </si>
  <si>
    <t>Site Payments</t>
  </si>
  <si>
    <t>SCHADS - Level 1 - pay point 2</t>
  </si>
  <si>
    <t>Alice Springs</t>
  </si>
  <si>
    <t>35</t>
  </si>
  <si>
    <t>Remote</t>
  </si>
  <si>
    <t>Fixed Payment</t>
  </si>
  <si>
    <t>SCHADS - Level 1 - pay point 3</t>
  </si>
  <si>
    <t>Armadale</t>
  </si>
  <si>
    <t>Major City</t>
  </si>
  <si>
    <t>Variable Payment</t>
  </si>
  <si>
    <t>per family</t>
  </si>
  <si>
    <t>SCHADS - Level 2 - pay point 1</t>
  </si>
  <si>
    <t>Armidale</t>
  </si>
  <si>
    <t>Rural Loading</t>
  </si>
  <si>
    <t>applicable for rural/remote sites</t>
  </si>
  <si>
    <t>SCHADS - Level 2 - pay point 2</t>
  </si>
  <si>
    <t>Ashmont</t>
  </si>
  <si>
    <t>Establishment Fees</t>
  </si>
  <si>
    <t>SCHADS - Level 2 - pay point 3</t>
  </si>
  <si>
    <t>Belconnen</t>
  </si>
  <si>
    <t>Bonus Payment</t>
  </si>
  <si>
    <t>bonus payment if retention target met</t>
  </si>
  <si>
    <t>SCHADS - Level 2 - pay point 4</t>
  </si>
  <si>
    <t>Bendigo</t>
  </si>
  <si>
    <t>SCHADS - Level 3 - pay point 1</t>
  </si>
  <si>
    <t>Bidwill</t>
  </si>
  <si>
    <t>SCHADS - Level 3 - pay point 2</t>
  </si>
  <si>
    <t>Bowenfels</t>
  </si>
  <si>
    <t>Location:</t>
  </si>
  <si>
    <t>SCHADS - Level 3 - pay point 3</t>
  </si>
  <si>
    <t>Braybrook</t>
  </si>
  <si>
    <t>SCHADS - Level 3 - pay point 4</t>
  </si>
  <si>
    <t>Brighton</t>
  </si>
  <si>
    <t>SCHADS - Level 4 - pay point 1</t>
  </si>
  <si>
    <t>Broken Hill</t>
  </si>
  <si>
    <t>Outer Regional</t>
  </si>
  <si>
    <t>Not Found</t>
  </si>
  <si>
    <t>SCHADS - Level 4 - pay point 2</t>
  </si>
  <si>
    <t>Broome</t>
  </si>
  <si>
    <t>SCHADS - Level 4 - pay point 3</t>
  </si>
  <si>
    <t>Bunbury-Collie</t>
  </si>
  <si>
    <t>SCHADS - Level 4 - pay point 4</t>
  </si>
  <si>
    <t>Bundaberg</t>
  </si>
  <si>
    <t>Very Remote</t>
  </si>
  <si>
    <t>SCHADS - Level 5 - pay point 1</t>
  </si>
  <si>
    <t>Burdekin</t>
  </si>
  <si>
    <t>SCHADS - Level 5 - pay point 2</t>
  </si>
  <si>
    <t>Burnie</t>
  </si>
  <si>
    <t>SCHADS - Level 5 - pay point 3</t>
  </si>
  <si>
    <t>Caboolture</t>
  </si>
  <si>
    <t>SCHADS - Level 6 - pay point 1</t>
  </si>
  <si>
    <t>Cabramatta</t>
  </si>
  <si>
    <t>SCHADS - Level 6 - pay point 2</t>
  </si>
  <si>
    <t>Cairns North</t>
  </si>
  <si>
    <t>Financial Year</t>
  </si>
  <si>
    <t>Budget Year</t>
  </si>
  <si>
    <t>Year 1</t>
  </si>
  <si>
    <t>Year 2</t>
  </si>
  <si>
    <t>Word</t>
  </si>
  <si>
    <t>SCHADS - Level 6 - pay point 3</t>
  </si>
  <si>
    <t>Cairns South</t>
  </si>
  <si>
    <t>FY 25/26</t>
  </si>
  <si>
    <t>FY 26/27</t>
  </si>
  <si>
    <t xml:space="preserve">Total               </t>
  </si>
  <si>
    <t>SCHADS - Level 7 - pay point 1</t>
  </si>
  <si>
    <t>Campbelltown</t>
  </si>
  <si>
    <t>SCHADS - Level 7 - pay point 2</t>
  </si>
  <si>
    <t>Cherbourg</t>
  </si>
  <si>
    <t>Surplus Prop</t>
  </si>
  <si>
    <t>SCHADS - Level 7 - pay point 3</t>
  </si>
  <si>
    <t>Clarence</t>
  </si>
  <si>
    <t>FY 24/25</t>
  </si>
  <si>
    <t>SCHADS - Level 8 - pay point 1</t>
  </si>
  <si>
    <t>Colac</t>
  </si>
  <si>
    <t>SCHADS - Level 8 - pay point 2</t>
  </si>
  <si>
    <t>Cooktown</t>
  </si>
  <si>
    <t>SCHADS - Level 8 - pay point 3</t>
  </si>
  <si>
    <t>Dallas Broadmeadows</t>
  </si>
  <si>
    <t>Support worker level 1.1 on commencement</t>
  </si>
  <si>
    <t>Dandenong</t>
  </si>
  <si>
    <t>Support worker level 2.1 on commencement</t>
  </si>
  <si>
    <t>Darwin North</t>
  </si>
  <si>
    <t>Support worker level 2.2 after 1 year</t>
  </si>
  <si>
    <t>Davoren Park</t>
  </si>
  <si>
    <t>Support worker level 3.1 on commencement</t>
  </si>
  <si>
    <t>Deception Bay</t>
  </si>
  <si>
    <t>Children's services employee level 1.1 on commencement</t>
  </si>
  <si>
    <t>Doomadgee</t>
  </si>
  <si>
    <t>Children's services employee level 2.1 on commencement</t>
  </si>
  <si>
    <t>Dubbo</t>
  </si>
  <si>
    <t>Children's services employee level 2.2 after 1 year</t>
  </si>
  <si>
    <t>East Gippsland</t>
  </si>
  <si>
    <t>Children's services employee level 3A.1 on commencement</t>
  </si>
  <si>
    <t>East Kimberley</t>
  </si>
  <si>
    <t>Children's services employee level 3A.2 after 1 year</t>
  </si>
  <si>
    <t>Eastlakes</t>
  </si>
  <si>
    <t>Children's services employee level 3.1 on commencement</t>
  </si>
  <si>
    <t>Elizabeth</t>
  </si>
  <si>
    <t>Children's services employee level 3.2 after 1 year</t>
  </si>
  <si>
    <t>Emerton</t>
  </si>
  <si>
    <t>Children's services employee level 3.3 after 2 years</t>
  </si>
  <si>
    <t>Fairfield</t>
  </si>
  <si>
    <t>Children's services employee level 3.4 (Diploma)</t>
  </si>
  <si>
    <t>Fitzroy</t>
  </si>
  <si>
    <t>Children's services employee level 4A.1 on commencement</t>
  </si>
  <si>
    <t>Frankston North</t>
  </si>
  <si>
    <t>Children's services employee level 4A.2 after 1 year</t>
  </si>
  <si>
    <t>Fraser Coast</t>
  </si>
  <si>
    <t>Children's services employee level 4A.3 after 2 years</t>
  </si>
  <si>
    <t>Geelong</t>
  </si>
  <si>
    <t>Children's services employee level 4A.4 after 3 years</t>
  </si>
  <si>
    <t>Geraldton</t>
  </si>
  <si>
    <t>Children's services employee level 4A.5 after 4 years</t>
  </si>
  <si>
    <t>Girrawheen</t>
  </si>
  <si>
    <t>Children's services employee level 4.1 on commencement</t>
  </si>
  <si>
    <t>Goodna</t>
  </si>
  <si>
    <t>Children's services employee level 4.2 after 1 year</t>
  </si>
  <si>
    <t>Goonellabah</t>
  </si>
  <si>
    <t>Children's services employee level 4.3 after 2 years</t>
  </si>
  <si>
    <t>Gosnells</t>
  </si>
  <si>
    <t>Children's services employee level 5A.1 on commencement</t>
  </si>
  <si>
    <t>Hedland</t>
  </si>
  <si>
    <t>Children's services employee level 5A.2 after 1 year</t>
  </si>
  <si>
    <t>Inala</t>
  </si>
  <si>
    <t>Children's services employee level 5A.3 after 2 years</t>
  </si>
  <si>
    <t>Kalgoorlie-Boulder</t>
  </si>
  <si>
    <t>Children's services employee level 5.1 on commencement</t>
  </si>
  <si>
    <t>Katherine</t>
  </si>
  <si>
    <t>Children's services employee level 5.2 after 1 year</t>
  </si>
  <si>
    <t>Kempsey</t>
  </si>
  <si>
    <t>Children's services employee level 5.3 after 2 years</t>
  </si>
  <si>
    <t>Kentish</t>
  </si>
  <si>
    <t>Children's services employee level 5.4</t>
  </si>
  <si>
    <t>Latrobe</t>
  </si>
  <si>
    <t>Children's services employee level 6A.1 on commencement</t>
  </si>
  <si>
    <t>Launceston</t>
  </si>
  <si>
    <t>Children's services employee level 6A.2 after 1 year</t>
  </si>
  <si>
    <t>Logan</t>
  </si>
  <si>
    <t>Children's services employee level 6A.3 after 2 years</t>
  </si>
  <si>
    <t>Maroubra</t>
  </si>
  <si>
    <t>Children's services employee - Director - level 6.1 on commencement</t>
  </si>
  <si>
    <t>Merri-bek</t>
  </si>
  <si>
    <t>Children's services employee - Director - level 6.2 after 1 year</t>
  </si>
  <si>
    <t>Midland</t>
  </si>
  <si>
    <t>Children's services employee - Director - level 6.3 after 2 years</t>
  </si>
  <si>
    <t>Mildura</t>
  </si>
  <si>
    <t>Children's services employee - Director - level 6.4 on commencement</t>
  </si>
  <si>
    <t>Mooroopna-Shepparton</t>
  </si>
  <si>
    <t>Children's services employee - Director - level 6.5 after 1 year</t>
  </si>
  <si>
    <t>Moree</t>
  </si>
  <si>
    <t>Children's services employee - Director - level 6.6 after 2 years</t>
  </si>
  <si>
    <t>Mount Isa</t>
  </si>
  <si>
    <t>Children's services employee - Director - level 6.7 on commencement</t>
  </si>
  <si>
    <t>Mount Morgan</t>
  </si>
  <si>
    <t>Children's services employee - Director - level 6.8 after 1 year</t>
  </si>
  <si>
    <t>Mowanjum-Derby</t>
  </si>
  <si>
    <t>Children's services employee - Director - level 6.9 after 2 years</t>
  </si>
  <si>
    <t>Murray Bridge</t>
  </si>
  <si>
    <t>Nambucca Valley</t>
  </si>
  <si>
    <t>North Melbourne</t>
  </si>
  <si>
    <t>Nowra</t>
  </si>
  <si>
    <t>NPA</t>
  </si>
  <si>
    <t>Onkaparinga</t>
  </si>
  <si>
    <t>Orange</t>
  </si>
  <si>
    <t>Palm Island</t>
  </si>
  <si>
    <t>Palmerston</t>
  </si>
  <si>
    <t>Port Augusta</t>
  </si>
  <si>
    <t>Port Stephens</t>
  </si>
  <si>
    <t>Riverland</t>
  </si>
  <si>
    <t>Riverwood</t>
  </si>
  <si>
    <t>Robinvale</t>
  </si>
  <si>
    <t>Rockhampton</t>
  </si>
  <si>
    <t>Rockingham</t>
  </si>
  <si>
    <t>Salisbury</t>
  </si>
  <si>
    <t>Smithton</t>
  </si>
  <si>
    <t>Surf Coast</t>
  </si>
  <si>
    <t>Tamworth</t>
  </si>
  <si>
    <t>Taree-Foster</t>
  </si>
  <si>
    <t>Tennant Creek</t>
  </si>
  <si>
    <t>The Parks</t>
  </si>
  <si>
    <t>Toowoomba</t>
  </si>
  <si>
    <t>Upper Ross</t>
  </si>
  <si>
    <t>Warrawong</t>
  </si>
  <si>
    <t>Warwick</t>
  </si>
  <si>
    <t>Wellington</t>
  </si>
  <si>
    <t>West Coast</t>
  </si>
  <si>
    <t>West Ipswich</t>
  </si>
  <si>
    <t>Whittlesea</t>
  </si>
  <si>
    <t>Whyalla</t>
  </si>
  <si>
    <t>Wyong</t>
  </si>
  <si>
    <t>Yurrwi</t>
  </si>
  <si>
    <t>SCHADS Awards 2025</t>
  </si>
  <si>
    <t>Website and Pay Guide</t>
  </si>
  <si>
    <t>Classification</t>
  </si>
  <si>
    <t>Weekly pay rate</t>
  </si>
  <si>
    <t>Hourly pay rate</t>
  </si>
  <si>
    <t>Saturday</t>
  </si>
  <si>
    <t>Sunday</t>
  </si>
  <si>
    <t>Public holiday</t>
  </si>
  <si>
    <t>Afternoon shift</t>
  </si>
  <si>
    <t>Night shift</t>
  </si>
  <si>
    <t>Table 2 of 3</t>
  </si>
  <si>
    <t>Overtime - Monday to Saturday - first 3 hours (full-time) or first 2 hours (disability services and part-time)</t>
  </si>
  <si>
    <t>Overtime - Monday to Saturday - after 3 hours (full-time) or after 2 hours (disability services and part-time)</t>
  </si>
  <si>
    <t>Overtime - public holiday</t>
  </si>
  <si>
    <t>Less than 10 hour break after working overtime</t>
  </si>
  <si>
    <t>Broken shift - working beyond a 12 hour span - disability services work</t>
  </si>
  <si>
    <t>Remote work - Monday to Friday - within the span of 6am to 8pm</t>
  </si>
  <si>
    <t>Remote work - Monday to Friday - first 2 hours - outside the span of 6am to 8pm</t>
  </si>
  <si>
    <t>Level 1 - pay point 1</t>
  </si>
  <si>
    <t>Level 1 - pay point 2</t>
  </si>
  <si>
    <t>Level 1 - pay point 3</t>
  </si>
  <si>
    <t>Level 2 - pay point 1</t>
  </si>
  <si>
    <t>Level 2 - pay point 2</t>
  </si>
  <si>
    <t>Level 2 - pay point 3</t>
  </si>
  <si>
    <t>Level 2 - pay point 4</t>
  </si>
  <si>
    <t>Level 3 - pay point 1</t>
  </si>
  <si>
    <t>Level 3 - pay point 2</t>
  </si>
  <si>
    <t>Level 3 - pay point 3</t>
  </si>
  <si>
    <t>Level 3 - pay point 4</t>
  </si>
  <si>
    <t>Level 4 - pay point 1</t>
  </si>
  <si>
    <t>Level 4 - pay point 2</t>
  </si>
  <si>
    <t>Level 4 - pay point 3</t>
  </si>
  <si>
    <t>Level 4 - pay point 4</t>
  </si>
  <si>
    <t>Level 5 - pay point 1</t>
  </si>
  <si>
    <t>Level 5 - pay point 2</t>
  </si>
  <si>
    <t>Level 5 - pay point 3</t>
  </si>
  <si>
    <t>Level 6 - pay point 1</t>
  </si>
  <si>
    <t>Level 6 - pay point 2</t>
  </si>
  <si>
    <t>Level 6 - pay point 3</t>
  </si>
  <si>
    <t>Level 7 - pay point 1</t>
  </si>
  <si>
    <t>Level 7 - pay point 2</t>
  </si>
  <si>
    <t>Level 7 - pay point 3</t>
  </si>
  <si>
    <t>Level 8 - pay point 1</t>
  </si>
  <si>
    <t>Level 8 - pay point 2</t>
  </si>
  <si>
    <t>Level 8 - pay point 3</t>
  </si>
  <si>
    <t>Table 3 of 3</t>
  </si>
  <si>
    <t>Remote work - Monday to Friday - after 2 hours - outside the span of 6am to 8pm</t>
  </si>
  <si>
    <t>Remote work on a Saturday - within the span of 6am to 8pm</t>
  </si>
  <si>
    <t>Remote work - Saturday - first 2 hours - outside the span of 6am to 8pm</t>
  </si>
  <si>
    <t>Remote work - Saturday - after 2 hours - outside the span of 6am to 8pm</t>
  </si>
  <si>
    <t>Remote work - Sunday</t>
  </si>
  <si>
    <t>Remote work - public holiday</t>
  </si>
  <si>
    <t>Remote work - more than 10 hours a day - first 2 hours</t>
  </si>
  <si>
    <t>Remote work - more than 10 hours a day - after 2 hours</t>
  </si>
  <si>
    <t xml:space="preserve">Rates of pay   </t>
  </si>
  <si>
    <t>Adult</t>
  </si>
  <si>
    <t>Full-time &amp; part-time</t>
  </si>
  <si>
    <t>Children's Services Award 2025</t>
  </si>
  <si>
    <t>Table 1 of 3</t>
  </si>
  <si>
    <t>Early morning shift</t>
  </si>
  <si>
    <t>Saturday - shiftworkers</t>
  </si>
  <si>
    <t>Permanent night shift</t>
  </si>
  <si>
    <t>Overtime - Monday to Friday - first 2 hours</t>
  </si>
  <si>
    <t>Overtime - Monday to Friday - after 2 hours</t>
  </si>
  <si>
    <t>Overtime - Saturday - shiftworkers - first 2 hours</t>
  </si>
  <si>
    <t>Overtime - Saturday - shiftworkers - after 2 hours</t>
  </si>
  <si>
    <t>Casual</t>
  </si>
  <si>
    <t>Overtime - Saturday (not shiftworkers) - first 2 hours</t>
  </si>
  <si>
    <t>Overtime - Saturday (not shiftworkers) - after 2 hours</t>
  </si>
  <si>
    <t>Rotating night shift</t>
  </si>
  <si>
    <t>HIPPY Biannual Actuals Template</t>
  </si>
  <si>
    <r>
      <rPr>
        <b/>
        <sz val="10"/>
        <color rgb="FFFF0000"/>
        <rFont val="Arial"/>
        <family val="2"/>
      </rPr>
      <t>IMPORTANT information when submitting via ETO:</t>
    </r>
    <r>
      <rPr>
        <sz val="10"/>
        <color rgb="FFFF0000"/>
        <rFont val="Arial"/>
        <family val="2"/>
      </rPr>
      <t xml:space="preserve"> </t>
    </r>
  </si>
  <si>
    <t>This should be entered as part of your Line Manager Report</t>
  </si>
  <si>
    <t>Reporting period (delete one)</t>
  </si>
  <si>
    <t>Jan-Jun 2023</t>
  </si>
  <si>
    <t>Jul-Dec 2023</t>
  </si>
  <si>
    <t>Enhancement</t>
  </si>
  <si>
    <t>Tutor Training</t>
  </si>
  <si>
    <t>Total Period</t>
  </si>
  <si>
    <t>Explanation</t>
  </si>
  <si>
    <t>Approved opening surplus</t>
  </si>
  <si>
    <t>Surplus as shown on your previous Annual Financials</t>
  </si>
  <si>
    <t>Any income received from HIPPY Australia during the period</t>
  </si>
  <si>
    <t>Includes any non HIPPY Australia funds such as donations and fundraising</t>
  </si>
  <si>
    <t>In-kind contribution</t>
  </si>
  <si>
    <t xml:space="preserve">Any deficits should be reported here </t>
  </si>
  <si>
    <t xml:space="preserve">
Employment Expenses</t>
  </si>
  <si>
    <t>Childcare</t>
  </si>
  <si>
    <t xml:space="preserve">
Operating Expenses</t>
  </si>
  <si>
    <t>These costs relate to the share of rent, water, power and other services required in relation to facilities use to conduct HIPPY.</t>
  </si>
  <si>
    <r>
      <rPr>
        <sz val="9"/>
        <color rgb="FF000000"/>
        <rFont val="Arial"/>
        <family val="2"/>
      </rPr>
      <t xml:space="preserve">Materials for HIPPY activities </t>
    </r>
    <r>
      <rPr>
        <sz val="8"/>
        <color rgb="FF000000"/>
        <rFont val="Arial"/>
        <family val="2"/>
      </rPr>
      <t>(books, activities etc)</t>
    </r>
  </si>
  <si>
    <t xml:space="preserve">This relates to the costs associated with the sets of materials required for participation in HIPPY, including Curriculum materials and HIPPY shapes. </t>
  </si>
  <si>
    <t>Materials &amp; resources (other)</t>
  </si>
  <si>
    <t>This relates to the costs of materials including printing and stationary, art supplies and resources used in HIPPY graduation celebrations etc.</t>
  </si>
  <si>
    <t>Expenses can be incurred when conducting Gatherings and Group meetings to support the running of HIPPY (e.g. hire of rooms, catering and payment to guest speakers)</t>
  </si>
  <si>
    <t>This relates to costs incurred in the purchase or lease of minor items of equipment necessary for the running of HIPPY</t>
  </si>
  <si>
    <t>Costs related to the promotion of HIPPY in the local community including merchandise to promote HIPPY</t>
  </si>
  <si>
    <t xml:space="preserve">Travel costs are incurred by the Coordinator in attending pre-service Coordinator training. The Coordinator and Tutors also incur travel costs in attending home visits, group meetings and other meeting or training sessions. </t>
  </si>
  <si>
    <t>Professional development</t>
  </si>
  <si>
    <t xml:space="preserve">Costs related to external professional development for Coordinators and Tutors. Note this does not include HIPPY Australia and Provider training such as Preservice Coordinator Training and Provider Induction. </t>
  </si>
  <si>
    <t>Add Profeesional Development for Coordinator and Tutorss</t>
  </si>
  <si>
    <t>This relates to additional costs relevant to particular organisations that are not identified above. Please provide a breakdown in the comments</t>
  </si>
  <si>
    <t xml:space="preserve">The provider organisation can incur an actual or reasonable allocation of overhead costs in running HIPPY. There is a requirement for administrative assistance in the running of the program, which includes entering statistical and financial data into ETO, providing  Financial Statements for both the organisation and HIPPY, ordering and taking delivery of curriculum and merchandise required for HIPPY. </t>
  </si>
  <si>
    <t>Current Year Surplus/Deficit</t>
  </si>
  <si>
    <t>Deficits should be reported as in-kind contribution</t>
  </si>
  <si>
    <t>Total Surplus/Deficit</t>
  </si>
  <si>
    <t>Version: 2023</t>
  </si>
  <si>
    <t>HIPPY Annual Financials Template</t>
  </si>
  <si>
    <t>This should be entered as an Annual Financials Touchpoint</t>
  </si>
  <si>
    <t>This audited statement must also be uploaded via the Touchpoint</t>
  </si>
  <si>
    <t>s</t>
  </si>
  <si>
    <t xml:space="preserve">Actual vs Budget </t>
  </si>
  <si>
    <t xml:space="preserve">Jul-Dec 23 Actuals </t>
  </si>
  <si>
    <t xml:space="preserve">Jul-Dec 23 Budget </t>
  </si>
  <si>
    <t xml:space="preserve">Jan-Jun 24 Actuals </t>
  </si>
  <si>
    <t>Jan-Jun 24 Budget</t>
  </si>
  <si>
    <t>Jan-Jun 23/24 Total Actuals</t>
  </si>
  <si>
    <t xml:space="preserve">Jan-Jun 23/24 Total Budget </t>
  </si>
  <si>
    <t xml:space="preserve">($$$)     Difference </t>
  </si>
  <si>
    <t xml:space="preserve">(%)        Difference </t>
  </si>
  <si>
    <t>Comments (if Actual vs Budget ($$$) are highligted)</t>
  </si>
  <si>
    <t>Expenses from HIPPY Activities 
Employment Expenses</t>
  </si>
  <si>
    <t>Expenses from HIPPY Activities 
Operating Expenses</t>
  </si>
  <si>
    <t>Provider:</t>
  </si>
  <si>
    <t xml:space="preserve">Actuals </t>
  </si>
  <si>
    <t>Approved surplus from previous FY</t>
  </si>
  <si>
    <t>Total Income</t>
  </si>
  <si>
    <t>Total income as per Annual Financials tab</t>
  </si>
  <si>
    <t>Total Expenses as per Annual Financials tab</t>
  </si>
  <si>
    <t xml:space="preserve">Total Surplus </t>
  </si>
  <si>
    <t>Total surplus for FY</t>
  </si>
  <si>
    <t>Surplus to be approved</t>
  </si>
  <si>
    <t>Surplus amount could be 100% of the Total surplus (B:20) or less.</t>
  </si>
  <si>
    <t>Surplus Request</t>
  </si>
  <si>
    <t>1) 	Reasons for the funds not being used during the regular period</t>
  </si>
  <si>
    <t>2) 	Estimated funds use. Details the costs that will be incurred</t>
  </si>
  <si>
    <t>Categories:</t>
  </si>
  <si>
    <t>Total:</t>
  </si>
  <si>
    <t>Period;</t>
  </si>
  <si>
    <t xml:space="preserve">Note: To certify this report it will need to be  either printed, signed and then scanned or a digital siginature added. </t>
  </si>
  <si>
    <t xml:space="preserve">The CEO, Board member, CFO or Independent auditor is responsible for submitting this report and certifies that: </t>
  </si>
  <si>
    <t xml:space="preserve">-       These details provided are a true and accurate representation of the HIPPY program being delivered at your site at the time of certification </t>
  </si>
  <si>
    <t xml:space="preserve">-       That you are lodging an official statement and can be held accountable for providing false, inaccurate or misleading information. </t>
  </si>
  <si>
    <r>
      <rPr>
        <b/>
        <sz val="10"/>
        <color rgb="FF000000"/>
        <rFont val="Arial"/>
        <family val="2"/>
      </rPr>
      <t>Name:</t>
    </r>
    <r>
      <rPr>
        <sz val="10"/>
        <color rgb="FF000000"/>
        <rFont val="Arial"/>
        <family val="2"/>
      </rPr>
      <t xml:space="preserve"> </t>
    </r>
    <r>
      <rPr>
        <sz val="10"/>
        <color rgb="FFBFBFBF"/>
        <rFont val="Arial"/>
        <family val="2"/>
      </rPr>
      <t xml:space="preserve">___________________________________________   </t>
    </r>
  </si>
  <si>
    <r>
      <rPr>
        <b/>
        <sz val="10"/>
        <color rgb="FF000000"/>
        <rFont val="Arial"/>
        <family val="2"/>
      </rPr>
      <t>Role:</t>
    </r>
    <r>
      <rPr>
        <sz val="10"/>
        <color rgb="FF000000"/>
        <rFont val="Arial"/>
        <family val="2"/>
      </rPr>
      <t xml:space="preserve"> </t>
    </r>
    <r>
      <rPr>
        <sz val="10"/>
        <color rgb="FFBFBFBF"/>
        <rFont val="Arial"/>
        <family val="2"/>
      </rPr>
      <t xml:space="preserve">___________________________________________   </t>
    </r>
  </si>
  <si>
    <r>
      <rPr>
        <b/>
        <sz val="10"/>
        <color rgb="FF000000"/>
        <rFont val="Arial"/>
        <family val="2"/>
      </rPr>
      <t xml:space="preserve">Signed: </t>
    </r>
    <r>
      <rPr>
        <sz val="10"/>
        <color rgb="FFBFBFBF"/>
        <rFont val="Arial"/>
        <family val="2"/>
      </rPr>
      <t xml:space="preserve">___________________________________________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</si>
</sst>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43" formatCode="_-* #,##0.00_-;\-* #,##0.00_-;_-* &quot;-&quot;??_-;_-@_-"/>
    <numFmt numFmtId="164" formatCode="&quot;$&quot;#,##0;[Red]\-&quot;$&quot;#,##0"/>
    <numFmt numFmtId="165" formatCode="&quot;$&quot;#,##0.00;[Red]\-&quot;$&quot;#,##0.00"/>
    <numFmt numFmtId="166" formatCode="_-&quot;$&quot;* #,##0.00_-;\-&quot;$&quot;* #,##0.00_-;_-&quot;$&quot;* &quot;-&quot;??_-;_-@_-"/>
    <numFmt numFmtId="167" formatCode="_-[$$-409]* #,##0.00_ ;_-[$$-409]* \-#,##0.00\ ;_-[$$-409]* &quot;-&quot;??_ ;_-@_ "/>
    <numFmt numFmtId="168" formatCode="&quot;$&quot;#,##0"/>
    <numFmt numFmtId="169" formatCode="_-&quot;$&quot;* #,##0_-;\-&quot;$&quot;* #,##0_-;_-&quot;$&quot;* &quot;-&quot;??_-;_-@_-"/>
    <numFmt numFmtId="170" formatCode="#,##0_ ;[Red]\-#,##0\ "/>
    <numFmt numFmtId="171" formatCode="0.0"/>
    <numFmt numFmtId="172" formatCode="d/mm/yyyy;@"/>
  </numFmts>
  <fonts count="95">
    <font>
      <sz val="11"/>
      <color theme="1"/>
      <name val="Calibri"/>
      <family val="2"/>
      <scheme val="minor"/>
    </font>
    <font>
      <b/>
      <sz val="10"/>
      <color rgb="FF000000"/>
      <name val="Arial"/>
      <family val="2"/>
    </font>
    <font>
      <b/>
      <sz val="9"/>
      <color rgb="FFF9833F"/>
      <name val="Arial"/>
      <family val="2"/>
    </font>
    <font>
      <sz val="9"/>
      <color rgb="FF000000"/>
      <name val="Arial"/>
      <family val="2"/>
    </font>
    <font>
      <sz val="10"/>
      <color rgb="FF000000"/>
      <name val="Arial"/>
      <family val="2"/>
    </font>
    <font>
      <b/>
      <sz val="8"/>
      <color rgb="FF274792"/>
      <name val="Arial"/>
      <family val="2"/>
    </font>
    <font>
      <b/>
      <sz val="10"/>
      <color theme="1"/>
      <name val="Arial"/>
      <family val="2"/>
    </font>
    <font>
      <sz val="10"/>
      <color theme="1"/>
      <name val="Arial"/>
      <family val="2"/>
    </font>
    <font>
      <sz val="8"/>
      <color theme="1"/>
      <name val="Arial"/>
      <family val="2"/>
    </font>
    <font>
      <b/>
      <sz val="11"/>
      <color theme="1"/>
      <name val="Calibri"/>
      <family val="2"/>
      <scheme val="minor"/>
    </font>
    <font>
      <b/>
      <sz val="10"/>
      <color rgb="FFFF0000"/>
      <name val="Arial"/>
      <family val="2"/>
    </font>
    <font>
      <sz val="10"/>
      <color rgb="FFBFBFBF"/>
      <name val="Arial"/>
      <family val="2"/>
    </font>
    <font>
      <b/>
      <sz val="20"/>
      <color rgb="FFF97B10"/>
      <name val="Arial"/>
      <family val="2"/>
    </font>
    <font>
      <b/>
      <sz val="9"/>
      <color rgb="FF00385D"/>
      <name val="Arial"/>
      <family val="2"/>
    </font>
    <font>
      <b/>
      <sz val="10"/>
      <color theme="0"/>
      <name val="Arial"/>
      <family val="2"/>
    </font>
    <font>
      <sz val="10"/>
      <name val="Arial"/>
      <family val="2"/>
    </font>
    <font>
      <sz val="9"/>
      <color theme="1"/>
      <name val="Arial"/>
      <family val="2"/>
    </font>
    <font>
      <b/>
      <sz val="9"/>
      <color theme="1"/>
      <name val="Arial"/>
      <family val="2"/>
    </font>
    <font>
      <sz val="8"/>
      <color rgb="FF000000"/>
      <name val="Arial"/>
      <family val="2"/>
    </font>
    <font>
      <sz val="11"/>
      <color rgb="FF000000"/>
      <name val="Calibri"/>
      <family val="2"/>
    </font>
    <font>
      <sz val="10"/>
      <color rgb="FFFF0000"/>
      <name val="Arial"/>
      <family val="2"/>
    </font>
    <font>
      <sz val="9"/>
      <color indexed="81"/>
      <name val="Tahoma"/>
      <family val="2"/>
    </font>
    <font>
      <b/>
      <sz val="9"/>
      <color indexed="81"/>
      <name val="Tahoma"/>
      <family val="2"/>
    </font>
    <font>
      <sz val="11"/>
      <color theme="1"/>
      <name val="Arial"/>
      <family val="2"/>
    </font>
    <font>
      <b/>
      <sz val="11"/>
      <color theme="1"/>
      <name val="Arial"/>
      <family val="2"/>
    </font>
    <font>
      <b/>
      <sz val="11"/>
      <color rgb="FF000000"/>
      <name val="Arial"/>
      <family val="2"/>
    </font>
    <font>
      <u/>
      <sz val="11"/>
      <color theme="10"/>
      <name val="Calibri"/>
      <family val="2"/>
      <scheme val="minor"/>
    </font>
    <font>
      <b/>
      <sz val="8"/>
      <color theme="0"/>
      <name val="Arial"/>
      <family val="2"/>
    </font>
    <font>
      <sz val="8"/>
      <name val="Calibri"/>
      <family val="2"/>
      <scheme val="minor"/>
    </font>
    <font>
      <b/>
      <sz val="9"/>
      <color theme="1"/>
      <name val="Calibri"/>
      <family val="2"/>
      <scheme val="minor"/>
    </font>
    <font>
      <b/>
      <sz val="14"/>
      <color theme="1"/>
      <name val="Calibri"/>
      <family val="2"/>
      <scheme val="minor"/>
    </font>
    <font>
      <b/>
      <sz val="12"/>
      <color rgb="FF00385D"/>
      <name val="Arial"/>
      <family val="2"/>
    </font>
    <font>
      <b/>
      <sz val="16"/>
      <color rgb="FF1B365D"/>
      <name val="Arial"/>
      <family val="2"/>
    </font>
    <font>
      <b/>
      <sz val="14"/>
      <color rgb="FF1B365D"/>
      <name val="Arial"/>
      <family val="2"/>
    </font>
    <font>
      <sz val="11"/>
      <color theme="1"/>
      <name val="Calibri"/>
      <family val="2"/>
      <scheme val="minor"/>
    </font>
    <font>
      <b/>
      <sz val="9"/>
      <name val="Arial"/>
      <family val="2"/>
    </font>
    <font>
      <sz val="11"/>
      <color theme="0"/>
      <name val="Calibri"/>
      <family val="2"/>
      <scheme val="minor"/>
    </font>
    <font>
      <b/>
      <sz val="20"/>
      <color rgb="FFF97B10"/>
      <name val="Arial Rounded MT Bold"/>
      <family val="2"/>
    </font>
    <font>
      <sz val="12"/>
      <color theme="1"/>
      <name val="Arial Rounded MT Bold"/>
      <family val="2"/>
    </font>
    <font>
      <sz val="36"/>
      <color theme="0"/>
      <name val="Arial Rounded MT Bold"/>
      <family val="2"/>
    </font>
    <font>
      <sz val="12"/>
      <color theme="1"/>
      <name val="Calibri"/>
      <family val="2"/>
      <scheme val="minor"/>
    </font>
    <font>
      <sz val="14"/>
      <color theme="0"/>
      <name val="Arial Rounded MT Bold"/>
      <family val="2"/>
    </font>
    <font>
      <b/>
      <sz val="28"/>
      <color theme="0"/>
      <name val="Arial Rounded MT Bold"/>
      <family val="2"/>
    </font>
    <font>
      <sz val="12"/>
      <color rgb="FF000000"/>
      <name val="Calibri"/>
      <family val="2"/>
    </font>
    <font>
      <b/>
      <sz val="12"/>
      <color theme="0"/>
      <name val="Arial"/>
      <family val="2"/>
    </font>
    <font>
      <b/>
      <sz val="12"/>
      <color rgb="FF000000"/>
      <name val="Arial"/>
      <family val="2"/>
    </font>
    <font>
      <sz val="12"/>
      <color rgb="FF000000"/>
      <name val="Arial"/>
      <family val="2"/>
    </font>
    <font>
      <sz val="12"/>
      <color theme="1"/>
      <name val="Arial"/>
      <family val="2"/>
    </font>
    <font>
      <b/>
      <sz val="12"/>
      <name val="Arial"/>
      <family val="2"/>
    </font>
    <font>
      <b/>
      <sz val="12"/>
      <color theme="1"/>
      <name val="Arial Rounded MT Bold"/>
      <family val="2"/>
    </font>
    <font>
      <b/>
      <sz val="12"/>
      <color rgb="FF00385D"/>
      <name val="Arial Rounded MT Bold"/>
      <family val="2"/>
    </font>
    <font>
      <b/>
      <sz val="12"/>
      <color rgb="FFFF0000"/>
      <name val="Arial Rounded MT Bold"/>
      <family val="2"/>
    </font>
    <font>
      <b/>
      <sz val="10"/>
      <color rgb="FFFF0000"/>
      <name val="Arial Rounded MT Bold"/>
      <family val="2"/>
    </font>
    <font>
      <b/>
      <sz val="12"/>
      <color rgb="FFFF0000"/>
      <name val="Arial"/>
      <family val="2"/>
    </font>
    <font>
      <u/>
      <sz val="12"/>
      <name val="Arial"/>
      <family val="2"/>
    </font>
    <font>
      <b/>
      <sz val="12"/>
      <color theme="1"/>
      <name val="Arial"/>
      <family val="2"/>
    </font>
    <font>
      <b/>
      <sz val="11"/>
      <color rgb="FFFF0000"/>
      <name val="Arial"/>
      <family val="2"/>
    </font>
    <font>
      <b/>
      <sz val="11"/>
      <name val="Arial"/>
      <family val="2"/>
    </font>
    <font>
      <b/>
      <sz val="9"/>
      <color theme="0"/>
      <name val="Arial"/>
      <family val="2"/>
    </font>
    <font>
      <b/>
      <u/>
      <sz val="12"/>
      <color theme="1"/>
      <name val="Arial"/>
      <family val="2"/>
    </font>
    <font>
      <sz val="12"/>
      <color rgb="FFBFBFBF"/>
      <name val="Arial"/>
      <family val="2"/>
    </font>
    <font>
      <b/>
      <sz val="12"/>
      <color rgb="FFC00000"/>
      <name val="Arial"/>
      <family val="2"/>
    </font>
    <font>
      <b/>
      <u/>
      <sz val="12"/>
      <color rgb="FFC00000"/>
      <name val="Arial"/>
      <family val="2"/>
    </font>
    <font>
      <b/>
      <sz val="14"/>
      <color rgb="FFC00000"/>
      <name val="Calibri"/>
      <family val="2"/>
      <scheme val="minor"/>
    </font>
    <font>
      <b/>
      <u/>
      <sz val="12"/>
      <color rgb="FF00385D"/>
      <name val="Arial"/>
      <family val="2"/>
    </font>
    <font>
      <sz val="10"/>
      <color theme="1"/>
      <name val="Calibri"/>
      <family val="2"/>
      <scheme val="minor"/>
    </font>
    <font>
      <sz val="9"/>
      <color theme="1"/>
      <name val="Calibri"/>
      <family val="2"/>
      <scheme val="minor"/>
    </font>
    <font>
      <sz val="11"/>
      <color theme="0" tint="-4.9989318521683403E-2"/>
      <name val="Calibri"/>
      <family val="2"/>
      <scheme val="minor"/>
    </font>
    <font>
      <b/>
      <sz val="12"/>
      <color theme="9"/>
      <name val="Arial"/>
      <family val="2"/>
    </font>
    <font>
      <sz val="11"/>
      <name val="Arial"/>
      <family val="2"/>
    </font>
    <font>
      <sz val="10"/>
      <color theme="0" tint="-4.9989318521683403E-2"/>
      <name val="Calibri"/>
      <family val="2"/>
      <scheme val="minor"/>
    </font>
    <font>
      <b/>
      <sz val="11"/>
      <color rgb="FFFF0000"/>
      <name val="Calibri"/>
      <family val="2"/>
      <scheme val="minor"/>
    </font>
    <font>
      <sz val="11"/>
      <name val="Calibri"/>
      <family val="2"/>
      <scheme val="minor"/>
    </font>
    <font>
      <b/>
      <sz val="11"/>
      <name val="Calibri"/>
      <family val="2"/>
      <scheme val="minor"/>
    </font>
    <font>
      <i/>
      <sz val="12"/>
      <color theme="1"/>
      <name val="Arial"/>
      <family val="2"/>
    </font>
    <font>
      <sz val="12"/>
      <color theme="3"/>
      <name val="Arial"/>
      <family val="2"/>
    </font>
    <font>
      <b/>
      <u/>
      <sz val="12"/>
      <color rgb="FF000000"/>
      <name val="Arial"/>
      <family val="2"/>
    </font>
    <font>
      <b/>
      <sz val="9"/>
      <color rgb="FFFF0000"/>
      <name val="Arial"/>
      <family val="2"/>
    </font>
    <font>
      <sz val="11"/>
      <color rgb="FF000000"/>
      <name val="Calibri"/>
      <family val="2"/>
      <scheme val="minor"/>
    </font>
    <font>
      <b/>
      <sz val="11"/>
      <color theme="0"/>
      <name val="Calibri"/>
      <family val="2"/>
      <scheme val="minor"/>
    </font>
    <font>
      <sz val="11"/>
      <color rgb="FFFF0000"/>
      <name val="Calibri"/>
      <family val="2"/>
      <scheme val="minor"/>
    </font>
    <font>
      <sz val="12"/>
      <color theme="0"/>
      <name val="Arial Rounded MT Bold"/>
      <family val="2"/>
    </font>
    <font>
      <sz val="12"/>
      <color theme="0"/>
      <name val="Arial"/>
      <family val="2"/>
    </font>
    <font>
      <b/>
      <sz val="11"/>
      <color rgb="FFF97B10"/>
      <name val="Arial"/>
      <family val="2"/>
    </font>
    <font>
      <sz val="11"/>
      <color rgb="FFF97B10"/>
      <name val="Arial"/>
      <family val="2"/>
    </font>
    <font>
      <sz val="12"/>
      <name val="Arial"/>
      <family val="2"/>
    </font>
    <font>
      <b/>
      <sz val="10"/>
      <name val="Arial"/>
      <family val="2"/>
    </font>
    <font>
      <sz val="12"/>
      <name val="Arial Rounded MT Bold"/>
      <family val="2"/>
    </font>
    <font>
      <b/>
      <sz val="12"/>
      <name val="Arial Rounded MT Bold"/>
      <family val="2"/>
    </font>
    <font>
      <sz val="9"/>
      <name val="Calibri"/>
      <family val="2"/>
      <scheme val="minor"/>
    </font>
    <font>
      <sz val="12"/>
      <name val="Calibri"/>
      <family val="2"/>
      <scheme val="minor"/>
    </font>
    <font>
      <sz val="11"/>
      <color rgb="FF000000"/>
      <name val="Arial"/>
      <family val="2"/>
    </font>
    <font>
      <sz val="12"/>
      <color rgb="FF00385D"/>
      <name val="Arial"/>
      <family val="2"/>
    </font>
    <font>
      <sz val="10"/>
      <color rgb="FF00385D"/>
      <name val="Arial"/>
      <family val="2"/>
    </font>
    <font>
      <b/>
      <u/>
      <sz val="12"/>
      <color theme="10"/>
      <name val="Arial"/>
      <family val="2"/>
    </font>
  </fonts>
  <fills count="20">
    <fill>
      <patternFill patternType="none"/>
    </fill>
    <fill>
      <patternFill patternType="gray125"/>
    </fill>
    <fill>
      <patternFill patternType="solid">
        <fgColor rgb="FFF2F2F2"/>
        <bgColor indexed="64"/>
      </patternFill>
    </fill>
    <fill>
      <patternFill patternType="solid">
        <fgColor rgb="FFFFFFFF"/>
        <bgColor indexed="64"/>
      </patternFill>
    </fill>
    <fill>
      <patternFill patternType="solid">
        <fgColor rgb="FFD8D8D8"/>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rgb="FFE5E5E5"/>
        <bgColor indexed="64"/>
      </patternFill>
    </fill>
    <fill>
      <patternFill patternType="solid">
        <fgColor rgb="FF00385D"/>
        <bgColor indexed="64"/>
      </patternFill>
    </fill>
    <fill>
      <patternFill patternType="solid">
        <fgColor theme="0" tint="-4.9989318521683403E-2"/>
        <bgColor indexed="64"/>
      </patternFill>
    </fill>
    <fill>
      <patternFill patternType="solid">
        <fgColor rgb="FFD9D9D9"/>
        <bgColor indexed="64"/>
      </patternFill>
    </fill>
    <fill>
      <patternFill patternType="solid">
        <fgColor rgb="FFFFFFFF"/>
        <bgColor rgb="FF000000"/>
      </patternFill>
    </fill>
    <fill>
      <patternFill patternType="solid">
        <fgColor rgb="FFFFFF00"/>
        <bgColor indexed="64"/>
      </patternFill>
    </fill>
    <fill>
      <patternFill patternType="solid">
        <fgColor theme="0" tint="-0.34998626667073579"/>
        <bgColor indexed="64"/>
      </patternFill>
    </fill>
    <fill>
      <patternFill patternType="solid">
        <fgColor rgb="FFDDDDDD"/>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rgb="FFBFBFBF"/>
        <bgColor indexed="64"/>
      </patternFill>
    </fill>
    <fill>
      <patternFill patternType="solid">
        <fgColor theme="4" tint="0.79998168889431442"/>
        <bgColor indexed="64"/>
      </patternFill>
    </fill>
  </fills>
  <borders count="97">
    <border>
      <left/>
      <right/>
      <top/>
      <bottom/>
      <diagonal/>
    </border>
    <border>
      <left/>
      <right style="medium">
        <color rgb="FFBFBFBF"/>
      </right>
      <top style="medium">
        <color rgb="FFBFBFBF"/>
      </top>
      <bottom style="medium">
        <color rgb="FFBFBFBF"/>
      </bottom>
      <diagonal/>
    </border>
    <border>
      <left/>
      <right style="medium">
        <color rgb="FFBFBFBF"/>
      </right>
      <top/>
      <bottom style="medium">
        <color rgb="FFBFBFBF"/>
      </bottom>
      <diagonal/>
    </border>
    <border>
      <left/>
      <right/>
      <top/>
      <bottom style="medium">
        <color rgb="FFBFBFBF"/>
      </bottom>
      <diagonal/>
    </border>
    <border>
      <left style="medium">
        <color rgb="FFBFBFBF"/>
      </left>
      <right/>
      <top/>
      <bottom/>
      <diagonal/>
    </border>
    <border>
      <left style="medium">
        <color rgb="FFBFBFBF"/>
      </left>
      <right style="medium">
        <color rgb="FFBFBFBF"/>
      </right>
      <top style="medium">
        <color rgb="FFBFBFBF"/>
      </top>
      <bottom/>
      <diagonal/>
    </border>
    <border>
      <left style="medium">
        <color rgb="FFBFBFBF"/>
      </left>
      <right style="thin">
        <color theme="0" tint="-0.249977111117893"/>
      </right>
      <top/>
      <bottom style="medium">
        <color rgb="FFBFBFBF"/>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theme="0" tint="-0.249977111117893"/>
      </top>
      <bottom/>
      <diagonal/>
    </border>
    <border>
      <left style="thin">
        <color theme="0" tint="-0.249977111117893"/>
      </left>
      <right style="medium">
        <color rgb="FFBFBFBF"/>
      </right>
      <top/>
      <bottom/>
      <diagonal/>
    </border>
    <border>
      <left/>
      <right style="thin">
        <color theme="0" tint="-0.249977111117893"/>
      </right>
      <top/>
      <bottom style="medium">
        <color rgb="FFBFBFBF"/>
      </bottom>
      <diagonal/>
    </border>
    <border>
      <left style="thin">
        <color theme="0" tint="-0.249977111117893"/>
      </left>
      <right style="medium">
        <color rgb="FFBFBFBF"/>
      </right>
      <top/>
      <bottom style="thin">
        <color theme="0" tint="-0.249977111117893"/>
      </bottom>
      <diagonal/>
    </border>
    <border>
      <left/>
      <right style="thin">
        <color theme="0" tint="-0.249977111117893"/>
      </right>
      <top/>
      <bottom style="thin">
        <color theme="0" tint="-0.249977111117893"/>
      </bottom>
      <diagonal/>
    </border>
    <border>
      <left/>
      <right style="medium">
        <color rgb="FFBFBFBF"/>
      </right>
      <top/>
      <bottom style="thin">
        <color theme="0" tint="-0.249977111117893"/>
      </bottom>
      <diagonal/>
    </border>
    <border>
      <left/>
      <right style="medium">
        <color rgb="FFBFBFBF"/>
      </right>
      <top style="medium">
        <color rgb="FFBFBFBF"/>
      </top>
      <bottom/>
      <diagonal/>
    </border>
    <border>
      <left style="medium">
        <color indexed="64"/>
      </left>
      <right style="medium">
        <color theme="0" tint="-0.249977111117893"/>
      </right>
      <top style="thin">
        <color theme="0" tint="-0.24994659260841701"/>
      </top>
      <bottom style="thin">
        <color theme="0" tint="-0.24994659260841701"/>
      </bottom>
      <diagonal/>
    </border>
    <border>
      <left style="medium">
        <color rgb="FFBFBFBF"/>
      </left>
      <right style="medium">
        <color rgb="FFBFBFBF"/>
      </right>
      <top/>
      <bottom style="medium">
        <color rgb="FFBFBFBF"/>
      </bottom>
      <diagonal/>
    </border>
    <border>
      <left style="thin">
        <color theme="0" tint="-0.249977111117893"/>
      </left>
      <right/>
      <top/>
      <bottom/>
      <diagonal/>
    </border>
    <border>
      <left/>
      <right/>
      <top/>
      <bottom style="thin">
        <color theme="0" tint="-0.249977111117893"/>
      </bottom>
      <diagonal/>
    </border>
    <border>
      <left/>
      <right style="medium">
        <color rgb="FFBFBFBF"/>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style="thin">
        <color theme="0" tint="-0.249977111117893"/>
      </right>
      <top/>
      <bottom/>
      <diagonal/>
    </border>
    <border>
      <left style="medium">
        <color indexed="64"/>
      </left>
      <right style="medium">
        <color theme="0" tint="-0.249977111117893"/>
      </right>
      <top/>
      <bottom style="thin">
        <color theme="0" tint="-0.2499465926084170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rgb="FFBFBFBF"/>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medium">
        <color rgb="FFBFBFBF"/>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theme="0" tint="-0.249977111117893"/>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rgb="FFBFBFBF"/>
      </right>
      <top style="thin">
        <color indexed="64"/>
      </top>
      <bottom/>
      <diagonal/>
    </border>
    <border>
      <left/>
      <right style="medium">
        <color rgb="FFBFBFBF"/>
      </right>
      <top style="thin">
        <color indexed="64"/>
      </top>
      <bottom/>
      <diagonal/>
    </border>
    <border>
      <left/>
      <right style="thin">
        <color indexed="64"/>
      </right>
      <top style="thin">
        <color indexed="64"/>
      </top>
      <bottom/>
      <diagonal/>
    </border>
    <border>
      <left style="thin">
        <color indexed="64"/>
      </left>
      <right/>
      <top/>
      <bottom/>
      <diagonal/>
    </border>
    <border>
      <left style="medium">
        <color rgb="FFBFBFBF"/>
      </left>
      <right style="thin">
        <color indexed="64"/>
      </right>
      <top/>
      <bottom style="medium">
        <color rgb="FFBFBFBF"/>
      </bottom>
      <diagonal/>
    </border>
    <border>
      <left/>
      <right style="thin">
        <color indexed="64"/>
      </right>
      <top/>
      <bottom style="medium">
        <color rgb="FFBFBFBF"/>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style="medium">
        <color rgb="FFBFBFBF"/>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theme="0" tint="-0.249977111117893"/>
      </left>
      <right/>
      <top style="thin">
        <color theme="0" tint="-0.249977111117893"/>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rgb="FFBFBFBF"/>
      </right>
      <top style="medium">
        <color rgb="FFBFBFBF"/>
      </top>
      <bottom/>
      <diagonal/>
    </border>
    <border>
      <left/>
      <right style="medium">
        <color indexed="64"/>
      </right>
      <top style="medium">
        <color rgb="FFBFBFBF"/>
      </top>
      <bottom/>
      <diagonal/>
    </border>
    <border>
      <left style="medium">
        <color indexed="64"/>
      </left>
      <right style="thin">
        <color theme="0" tint="-0.249977111117893"/>
      </right>
      <top style="thin">
        <color indexed="64"/>
      </top>
      <bottom style="medium">
        <color theme="0" tint="-0.249977111117893"/>
      </bottom>
      <diagonal/>
    </border>
    <border>
      <left style="thin">
        <color theme="0" tint="-0.249977111117893"/>
      </left>
      <right style="medium">
        <color indexed="64"/>
      </right>
      <top style="thin">
        <color indexed="64"/>
      </top>
      <bottom style="medium">
        <color theme="0" tint="-0.249977111117893"/>
      </bottom>
      <diagonal/>
    </border>
    <border>
      <left style="medium">
        <color indexed="64"/>
      </left>
      <right style="thin">
        <color theme="0" tint="-0.249977111117893"/>
      </right>
      <top style="thin">
        <color indexed="64"/>
      </top>
      <bottom style="medium">
        <color indexed="64"/>
      </bottom>
      <diagonal/>
    </border>
    <border>
      <left style="thin">
        <color theme="0" tint="-0.249977111117893"/>
      </left>
      <right style="medium">
        <color indexed="64"/>
      </right>
      <top style="thin">
        <color indexed="64"/>
      </top>
      <bottom style="medium">
        <color indexed="64"/>
      </bottom>
      <diagonal/>
    </border>
    <border>
      <left style="medium">
        <color indexed="64"/>
      </left>
      <right/>
      <top style="thin">
        <color indexed="64"/>
      </top>
      <bottom style="medium">
        <color theme="0" tint="-0.249977111117893"/>
      </bottom>
      <diagonal/>
    </border>
    <border>
      <left/>
      <right style="medium">
        <color indexed="64"/>
      </right>
      <top style="thin">
        <color indexed="64"/>
      </top>
      <bottom style="medium">
        <color theme="0" tint="-0.249977111117893"/>
      </bottom>
      <diagonal/>
    </border>
    <border>
      <left style="medium">
        <color indexed="64"/>
      </left>
      <right/>
      <top/>
      <bottom style="medium">
        <color theme="0" tint="-0.249977111117893"/>
      </bottom>
      <diagonal/>
    </border>
    <border>
      <left/>
      <right style="medium">
        <color indexed="64"/>
      </right>
      <top/>
      <bottom style="medium">
        <color theme="0" tint="-0.249977111117893"/>
      </bottom>
      <diagonal/>
    </border>
    <border>
      <left style="medium">
        <color indexed="64"/>
      </left>
      <right/>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rgb="FFBFBFBF"/>
      </left>
      <right/>
      <top/>
      <bottom style="medium">
        <color rgb="FFBFBFBF"/>
      </bottom>
      <diagonal/>
    </border>
    <border>
      <left style="medium">
        <color rgb="FFBFBFBF"/>
      </left>
      <right/>
      <top style="medium">
        <color rgb="FFBFBFBF"/>
      </top>
      <bottom style="medium">
        <color rgb="FFBFBFBF"/>
      </bottom>
      <diagonal/>
    </border>
    <border>
      <left/>
      <right style="thin">
        <color theme="0" tint="-0.249977111117893"/>
      </right>
      <top style="medium">
        <color rgb="FFBFBFBF"/>
      </top>
      <bottom style="medium">
        <color rgb="FFBFBFBF"/>
      </bottom>
      <diagonal/>
    </border>
    <border>
      <left style="medium">
        <color rgb="FFBFBFBF"/>
      </left>
      <right/>
      <top style="medium">
        <color rgb="FFBFBFBF"/>
      </top>
      <bottom style="thin">
        <color theme="0" tint="-0.249977111117893"/>
      </bottom>
      <diagonal/>
    </border>
    <border>
      <left/>
      <right style="thin">
        <color theme="0" tint="-0.249977111117893"/>
      </right>
      <top style="medium">
        <color rgb="FFBFBFBF"/>
      </top>
      <bottom style="thin">
        <color theme="0" tint="-0.249977111117893"/>
      </bottom>
      <diagonal/>
    </border>
    <border>
      <left style="medium">
        <color indexed="64"/>
      </left>
      <right style="medium">
        <color indexed="64"/>
      </right>
      <top style="medium">
        <color indexed="64"/>
      </top>
      <bottom style="medium">
        <color theme="0" tint="-0.249977111117893"/>
      </bottom>
      <diagonal/>
    </border>
    <border>
      <left style="medium">
        <color indexed="64"/>
      </left>
      <right style="medium">
        <color indexed="64"/>
      </right>
      <top/>
      <bottom style="medium">
        <color theme="0" tint="-0.249977111117893"/>
      </bottom>
      <diagonal/>
    </border>
    <border>
      <left style="medium">
        <color theme="0" tint="-0.249977111117893"/>
      </left>
      <right style="medium">
        <color theme="0" tint="-0.249977111117893"/>
      </right>
      <top style="medium">
        <color rgb="FFBFBFBF"/>
      </top>
      <bottom style="medium">
        <color theme="0" tint="-0.249977111117893"/>
      </bottom>
      <diagonal/>
    </border>
    <border>
      <left style="thin">
        <color theme="0" tint="-0.249977111117893"/>
      </left>
      <right/>
      <top style="thin">
        <color theme="0" tint="-0.249977111117893"/>
      </top>
      <bottom style="thin">
        <color theme="0" tint="-0.249977111117893"/>
      </bottom>
      <diagonal/>
    </border>
    <border>
      <left style="medium">
        <color theme="0" tint="-0.249977111117893"/>
      </left>
      <right style="medium">
        <color theme="0" tint="-0.249977111117893"/>
      </right>
      <top style="medium">
        <color theme="0" tint="-0.249977111117893"/>
      </top>
      <bottom style="medium">
        <color theme="0" tint="-0.249977111117893"/>
      </bottom>
      <diagonal/>
    </border>
    <border>
      <left style="medium">
        <color indexed="64"/>
      </left>
      <right style="medium">
        <color rgb="FFBFBFBF"/>
      </right>
      <top style="medium">
        <color indexed="64"/>
      </top>
      <bottom style="medium">
        <color indexed="64"/>
      </bottom>
      <diagonal/>
    </border>
    <border>
      <left/>
      <right style="medium">
        <color rgb="FFBFBFBF"/>
      </right>
      <top style="medium">
        <color indexed="64"/>
      </top>
      <bottom style="medium">
        <color indexed="64"/>
      </bottom>
      <diagonal/>
    </border>
    <border>
      <left style="medium">
        <color rgb="FFBFBFBF"/>
      </left>
      <right style="thin">
        <color theme="0" tint="-0.249977111117893"/>
      </right>
      <top/>
      <bottom/>
      <diagonal/>
    </border>
    <border>
      <left style="thin">
        <color theme="0" tint="-0.249977111117893"/>
      </left>
      <right style="thin">
        <color theme="0" tint="-0.249977111117893"/>
      </right>
      <top style="thin">
        <color theme="0" tint="-0.249977111117893"/>
      </top>
      <bottom/>
      <diagonal/>
    </border>
    <border>
      <left style="medium">
        <color rgb="FFBFBFBF"/>
      </left>
      <right style="medium">
        <color rgb="FFBFBFBF"/>
      </right>
      <top/>
      <bottom/>
      <diagonal/>
    </border>
  </borders>
  <cellStyleXfs count="3">
    <xf numFmtId="0" fontId="0" fillId="0" borderId="0"/>
    <xf numFmtId="0" fontId="26" fillId="0" borderId="0" applyNumberFormat="0" applyFill="0" applyBorder="0" applyAlignment="0" applyProtection="0"/>
    <xf numFmtId="166" fontId="34" fillId="0" borderId="0" applyFont="0" applyFill="0" applyBorder="0" applyAlignment="0" applyProtection="0"/>
  </cellStyleXfs>
  <cellXfs count="577">
    <xf numFmtId="0" fontId="0" fillId="0" borderId="0" xfId="0"/>
    <xf numFmtId="0" fontId="1" fillId="4" borderId="2" xfId="0" applyFont="1" applyFill="1" applyBorder="1" applyAlignment="1">
      <alignment horizontal="center" vertical="top" wrapText="1"/>
    </xf>
    <xf numFmtId="0" fontId="4" fillId="2" borderId="1" xfId="0" applyFont="1" applyFill="1" applyBorder="1" applyAlignment="1">
      <alignment horizontal="center" vertical="top" wrapText="1"/>
    </xf>
    <xf numFmtId="0" fontId="0" fillId="7" borderId="0" xfId="0" applyFill="1"/>
    <xf numFmtId="0" fontId="5" fillId="0" borderId="4" xfId="0" applyFont="1" applyBorder="1" applyAlignment="1">
      <alignment wrapText="1"/>
    </xf>
    <xf numFmtId="0" fontId="2" fillId="7" borderId="4" xfId="0" applyFont="1" applyFill="1" applyBorder="1" applyAlignment="1">
      <alignment wrapText="1"/>
    </xf>
    <xf numFmtId="0" fontId="8" fillId="7" borderId="0" xfId="0" applyFont="1" applyFill="1" applyAlignment="1">
      <alignment horizontal="left" indent="15"/>
    </xf>
    <xf numFmtId="0" fontId="0" fillId="7" borderId="0" xfId="0" applyFill="1" applyAlignment="1">
      <alignment wrapText="1"/>
    </xf>
    <xf numFmtId="0" fontId="0" fillId="2" borderId="6" xfId="0" applyFill="1" applyBorder="1" applyAlignment="1">
      <alignment wrapText="1"/>
    </xf>
    <xf numFmtId="0" fontId="3" fillId="0" borderId="9" xfId="0" applyFont="1" applyBorder="1" applyAlignment="1">
      <alignment wrapText="1"/>
    </xf>
    <xf numFmtId="0" fontId="4" fillId="2" borderId="10" xfId="0" applyFont="1" applyFill="1" applyBorder="1" applyAlignment="1">
      <alignment horizontal="center" vertical="top" wrapText="1"/>
    </xf>
    <xf numFmtId="0" fontId="5" fillId="0" borderId="11" xfId="0" applyFont="1" applyBorder="1" applyAlignment="1">
      <alignment wrapText="1"/>
    </xf>
    <xf numFmtId="0" fontId="1" fillId="4" borderId="12" xfId="0" applyFont="1" applyFill="1" applyBorder="1" applyAlignment="1">
      <alignment horizontal="center" vertical="top" wrapText="1"/>
    </xf>
    <xf numFmtId="0" fontId="0" fillId="7" borderId="0" xfId="0" applyFill="1" applyAlignment="1">
      <alignment vertical="top" wrapText="1"/>
    </xf>
    <xf numFmtId="0" fontId="5" fillId="0" borderId="7" xfId="0" applyFont="1" applyBorder="1" applyAlignment="1">
      <alignment wrapText="1"/>
    </xf>
    <xf numFmtId="0" fontId="4" fillId="7" borderId="0" xfId="0" applyFont="1" applyFill="1"/>
    <xf numFmtId="0" fontId="12" fillId="0" borderId="0" xfId="0" applyFont="1" applyAlignment="1">
      <alignment horizontal="left"/>
    </xf>
    <xf numFmtId="0" fontId="14" fillId="9" borderId="14" xfId="0" applyFont="1" applyFill="1" applyBorder="1" applyAlignment="1">
      <alignment horizontal="center" wrapText="1"/>
    </xf>
    <xf numFmtId="0" fontId="15" fillId="7" borderId="0" xfId="0" quotePrefix="1" applyFont="1" applyFill="1" applyAlignment="1">
      <alignment horizontal="left"/>
    </xf>
    <xf numFmtId="0" fontId="3" fillId="0" borderId="15" xfId="0" applyFont="1" applyBorder="1" applyAlignment="1">
      <alignment vertical="center" wrapText="1"/>
    </xf>
    <xf numFmtId="0" fontId="10" fillId="7" borderId="0" xfId="0" applyFont="1" applyFill="1" applyAlignment="1">
      <alignment horizontal="left"/>
    </xf>
    <xf numFmtId="0" fontId="2" fillId="7" borderId="0" xfId="0" applyFont="1" applyFill="1" applyAlignment="1">
      <alignment vertical="center" wrapText="1"/>
    </xf>
    <xf numFmtId="0" fontId="7" fillId="7" borderId="0" xfId="0" applyFont="1" applyFill="1" applyAlignment="1">
      <alignment horizontal="left"/>
    </xf>
    <xf numFmtId="0" fontId="17" fillId="7" borderId="0" xfId="0" applyFont="1" applyFill="1" applyAlignment="1">
      <alignment vertical="center"/>
    </xf>
    <xf numFmtId="0" fontId="3" fillId="2" borderId="10" xfId="0" applyFont="1" applyFill="1" applyBorder="1" applyAlignment="1">
      <alignment horizontal="left" vertical="top" wrapText="1"/>
    </xf>
    <xf numFmtId="0" fontId="16" fillId="2" borderId="6" xfId="0" applyFont="1" applyFill="1" applyBorder="1" applyAlignment="1">
      <alignment wrapText="1"/>
    </xf>
    <xf numFmtId="167" fontId="0" fillId="10" borderId="6" xfId="0" applyNumberFormat="1" applyFill="1" applyBorder="1" applyAlignment="1">
      <alignment wrapText="1"/>
    </xf>
    <xf numFmtId="167" fontId="0" fillId="10" borderId="6" xfId="0" quotePrefix="1" applyNumberFormat="1" applyFill="1" applyBorder="1" applyAlignment="1">
      <alignment horizontal="center" wrapText="1"/>
    </xf>
    <xf numFmtId="167" fontId="0" fillId="10" borderId="2" xfId="0" applyNumberFormat="1" applyFill="1" applyBorder="1" applyAlignment="1">
      <alignment wrapText="1"/>
    </xf>
    <xf numFmtId="167" fontId="0" fillId="2" borderId="2" xfId="0" applyNumberFormat="1" applyFill="1" applyBorder="1" applyAlignment="1">
      <alignment wrapText="1"/>
    </xf>
    <xf numFmtId="167" fontId="0" fillId="10" borderId="1" xfId="0" applyNumberFormat="1" applyFill="1" applyBorder="1" applyAlignment="1">
      <alignment wrapText="1"/>
    </xf>
    <xf numFmtId="167" fontId="0" fillId="5" borderId="2" xfId="0" applyNumberFormat="1" applyFill="1" applyBorder="1" applyAlignment="1">
      <alignment wrapText="1"/>
    </xf>
    <xf numFmtId="167" fontId="0" fillId="2" borderId="1" xfId="0" applyNumberFormat="1" applyFill="1" applyBorder="1" applyAlignment="1">
      <alignment wrapText="1"/>
    </xf>
    <xf numFmtId="167" fontId="0" fillId="7" borderId="0" xfId="0" applyNumberFormat="1" applyFill="1" applyAlignment="1">
      <alignment horizontal="left"/>
    </xf>
    <xf numFmtId="167" fontId="0" fillId="7" borderId="0" xfId="0" quotePrefix="1" applyNumberFormat="1" applyFill="1" applyAlignment="1">
      <alignment horizontal="left"/>
    </xf>
    <xf numFmtId="0" fontId="19" fillId="12" borderId="0" xfId="0" applyFont="1" applyFill="1"/>
    <xf numFmtId="167" fontId="9" fillId="7" borderId="0" xfId="0" applyNumberFormat="1" applyFont="1" applyFill="1" applyAlignment="1">
      <alignment horizontal="left"/>
    </xf>
    <xf numFmtId="0" fontId="0" fillId="3" borderId="0" xfId="0" applyFill="1" applyAlignment="1">
      <alignment wrapText="1"/>
    </xf>
    <xf numFmtId="0" fontId="13" fillId="6" borderId="17" xfId="0" applyFont="1" applyFill="1" applyBorder="1" applyAlignment="1">
      <alignment wrapText="1"/>
    </xf>
    <xf numFmtId="0" fontId="13" fillId="6" borderId="0" xfId="0" applyFont="1" applyFill="1" applyAlignment="1">
      <alignment wrapText="1"/>
    </xf>
    <xf numFmtId="0" fontId="0" fillId="13" borderId="0" xfId="0" applyFill="1"/>
    <xf numFmtId="167" fontId="0" fillId="7" borderId="0" xfId="0" applyNumberFormat="1" applyFill="1"/>
    <xf numFmtId="167" fontId="0" fillId="4" borderId="1" xfId="0" applyNumberFormat="1" applyFill="1" applyBorder="1"/>
    <xf numFmtId="167" fontId="0" fillId="10" borderId="2" xfId="0" applyNumberFormat="1" applyFill="1" applyBorder="1"/>
    <xf numFmtId="167" fontId="0" fillId="4" borderId="13" xfId="0" applyNumberFormat="1" applyFill="1" applyBorder="1" applyAlignment="1">
      <alignment wrapText="1"/>
    </xf>
    <xf numFmtId="167" fontId="0" fillId="4" borderId="2" xfId="0" applyNumberFormat="1" applyFill="1" applyBorder="1" applyAlignment="1">
      <alignment wrapText="1"/>
    </xf>
    <xf numFmtId="0" fontId="0" fillId="10" borderId="0" xfId="0" applyFill="1"/>
    <xf numFmtId="0" fontId="5" fillId="0" borderId="9" xfId="0" applyFont="1" applyBorder="1" applyAlignment="1">
      <alignment wrapText="1"/>
    </xf>
    <xf numFmtId="0" fontId="1" fillId="4" borderId="22" xfId="0" applyFont="1" applyFill="1" applyBorder="1" applyAlignment="1">
      <alignment horizontal="center" vertical="top" wrapText="1"/>
    </xf>
    <xf numFmtId="0" fontId="4" fillId="2" borderId="22" xfId="0" applyFont="1" applyFill="1" applyBorder="1" applyAlignment="1">
      <alignment horizontal="center" vertical="top" wrapText="1"/>
    </xf>
    <xf numFmtId="0" fontId="3" fillId="0" borderId="23" xfId="0" applyFont="1" applyBorder="1" applyAlignment="1">
      <alignment vertical="center" wrapText="1"/>
    </xf>
    <xf numFmtId="0" fontId="4" fillId="2" borderId="2" xfId="0" applyFont="1" applyFill="1" applyBorder="1" applyAlignment="1">
      <alignment horizontal="center" vertical="top" wrapText="1"/>
    </xf>
    <xf numFmtId="0" fontId="1" fillId="14" borderId="2" xfId="0" applyFont="1" applyFill="1" applyBorder="1" applyAlignment="1">
      <alignment horizontal="center" vertical="top" wrapText="1"/>
    </xf>
    <xf numFmtId="167" fontId="9" fillId="14" borderId="2" xfId="0" applyNumberFormat="1" applyFont="1" applyFill="1" applyBorder="1"/>
    <xf numFmtId="167" fontId="9" fillId="4" borderId="14" xfId="0" applyNumberFormat="1" applyFont="1" applyFill="1" applyBorder="1"/>
    <xf numFmtId="167" fontId="9" fillId="6" borderId="14" xfId="0" applyNumberFormat="1" applyFont="1" applyFill="1" applyBorder="1"/>
    <xf numFmtId="167" fontId="9" fillId="4" borderId="19" xfId="0" applyNumberFormat="1" applyFont="1" applyFill="1" applyBorder="1"/>
    <xf numFmtId="0" fontId="13" fillId="14" borderId="24" xfId="0" applyFont="1" applyFill="1" applyBorder="1" applyAlignment="1">
      <alignment wrapText="1"/>
    </xf>
    <xf numFmtId="0" fontId="13" fillId="14" borderId="25" xfId="0" applyFont="1" applyFill="1" applyBorder="1" applyAlignment="1">
      <alignment wrapText="1"/>
    </xf>
    <xf numFmtId="0" fontId="13" fillId="14" borderId="26" xfId="0" applyFont="1" applyFill="1" applyBorder="1" applyAlignment="1">
      <alignment wrapText="1"/>
    </xf>
    <xf numFmtId="167" fontId="9" fillId="4" borderId="19" xfId="0" applyNumberFormat="1" applyFont="1" applyFill="1" applyBorder="1" applyAlignment="1">
      <alignment wrapText="1"/>
    </xf>
    <xf numFmtId="167" fontId="9" fillId="4" borderId="14" xfId="0" applyNumberFormat="1" applyFont="1" applyFill="1" applyBorder="1" applyAlignment="1">
      <alignment wrapText="1"/>
    </xf>
    <xf numFmtId="0" fontId="23" fillId="0" borderId="28" xfId="0" applyFont="1" applyBorder="1" applyAlignment="1">
      <alignment vertical="center" wrapText="1"/>
    </xf>
    <xf numFmtId="165" fontId="23" fillId="0" borderId="21" xfId="0" applyNumberFormat="1" applyFont="1" applyBorder="1" applyAlignment="1">
      <alignment vertical="center" wrapText="1"/>
    </xf>
    <xf numFmtId="0" fontId="25" fillId="15" borderId="20" xfId="0" applyFont="1" applyFill="1" applyBorder="1" applyAlignment="1">
      <alignment vertical="center" wrapText="1"/>
    </xf>
    <xf numFmtId="0" fontId="25" fillId="15" borderId="26" xfId="0" applyFont="1" applyFill="1" applyBorder="1" applyAlignment="1">
      <alignment vertical="center" wrapText="1"/>
    </xf>
    <xf numFmtId="0" fontId="23" fillId="0" borderId="0" xfId="0" applyFont="1" applyAlignment="1">
      <alignment vertical="center"/>
    </xf>
    <xf numFmtId="0" fontId="24" fillId="0" borderId="0" xfId="0" applyFont="1" applyAlignment="1">
      <alignment vertical="center"/>
    </xf>
    <xf numFmtId="167" fontId="0" fillId="16" borderId="2" xfId="0" applyNumberFormat="1" applyFill="1" applyBorder="1" applyAlignment="1">
      <alignment wrapText="1"/>
    </xf>
    <xf numFmtId="167" fontId="0" fillId="16" borderId="1" xfId="0" applyNumberFormat="1" applyFill="1" applyBorder="1" applyAlignment="1">
      <alignment wrapText="1"/>
    </xf>
    <xf numFmtId="0" fontId="29" fillId="0" borderId="0" xfId="0" applyFont="1"/>
    <xf numFmtId="0" fontId="32" fillId="0" borderId="0" xfId="0" applyFont="1" applyAlignment="1">
      <alignment vertical="center"/>
    </xf>
    <xf numFmtId="0" fontId="33" fillId="0" borderId="0" xfId="0" applyFont="1" applyAlignment="1">
      <alignment vertical="center"/>
    </xf>
    <xf numFmtId="0" fontId="25" fillId="15" borderId="20" xfId="0" applyFont="1" applyFill="1" applyBorder="1" applyAlignment="1">
      <alignment vertical="center"/>
    </xf>
    <xf numFmtId="0" fontId="23" fillId="0" borderId="28" xfId="0" applyFont="1" applyBorder="1" applyAlignment="1">
      <alignment vertical="center"/>
    </xf>
    <xf numFmtId="165" fontId="23" fillId="0" borderId="21" xfId="0" applyNumberFormat="1" applyFont="1" applyBorder="1" applyAlignment="1">
      <alignment vertical="center"/>
    </xf>
    <xf numFmtId="0" fontId="0" fillId="11" borderId="0" xfId="0" applyFill="1" applyAlignment="1">
      <alignment vertical="center"/>
    </xf>
    <xf numFmtId="0" fontId="3" fillId="0" borderId="37" xfId="0" applyFont="1" applyBorder="1" applyAlignment="1">
      <alignment wrapText="1"/>
    </xf>
    <xf numFmtId="0" fontId="2" fillId="7" borderId="40" xfId="0" applyFont="1" applyFill="1" applyBorder="1" applyAlignment="1">
      <alignment vertical="center" wrapText="1"/>
    </xf>
    <xf numFmtId="167" fontId="0" fillId="10" borderId="41" xfId="0" applyNumberFormat="1" applyFill="1" applyBorder="1" applyAlignment="1">
      <alignment wrapText="1"/>
    </xf>
    <xf numFmtId="0" fontId="5" fillId="0" borderId="40" xfId="0" applyFont="1" applyBorder="1" applyAlignment="1">
      <alignment wrapText="1"/>
    </xf>
    <xf numFmtId="167" fontId="0" fillId="4" borderId="42" xfId="0" applyNumberFormat="1" applyFill="1" applyBorder="1" applyAlignment="1">
      <alignment wrapText="1"/>
    </xf>
    <xf numFmtId="0" fontId="10" fillId="7" borderId="43" xfId="0" applyFont="1" applyFill="1" applyBorder="1" applyAlignment="1">
      <alignment horizontal="left"/>
    </xf>
    <xf numFmtId="0" fontId="5" fillId="0" borderId="35" xfId="0" applyFont="1" applyBorder="1" applyAlignment="1">
      <alignment wrapText="1"/>
    </xf>
    <xf numFmtId="167" fontId="0" fillId="4" borderId="32" xfId="0" applyNumberFormat="1" applyFill="1" applyBorder="1" applyAlignment="1">
      <alignment wrapText="1"/>
    </xf>
    <xf numFmtId="167" fontId="0" fillId="4" borderId="34" xfId="0" applyNumberFormat="1" applyFill="1" applyBorder="1" applyAlignment="1">
      <alignment wrapText="1"/>
    </xf>
    <xf numFmtId="0" fontId="35" fillId="7" borderId="20" xfId="0" applyFont="1" applyFill="1" applyBorder="1" applyAlignment="1">
      <alignment vertical="center" wrapText="1"/>
    </xf>
    <xf numFmtId="0" fontId="0" fillId="7" borderId="48" xfId="0" applyFill="1" applyBorder="1"/>
    <xf numFmtId="0" fontId="10" fillId="7" borderId="49" xfId="0" applyFont="1" applyFill="1" applyBorder="1" applyAlignment="1">
      <alignment horizontal="left"/>
    </xf>
    <xf numFmtId="0" fontId="2" fillId="7" borderId="50" xfId="0" applyFont="1" applyFill="1" applyBorder="1" applyAlignment="1">
      <alignment vertical="center" wrapText="1"/>
    </xf>
    <xf numFmtId="0" fontId="10" fillId="7" borderId="51" xfId="0" applyFont="1" applyFill="1" applyBorder="1" applyAlignment="1">
      <alignment horizontal="left"/>
    </xf>
    <xf numFmtId="0" fontId="2" fillId="7" borderId="52" xfId="0" applyFont="1" applyFill="1" applyBorder="1" applyAlignment="1">
      <alignment vertical="center" wrapText="1"/>
    </xf>
    <xf numFmtId="0" fontId="10" fillId="7" borderId="53" xfId="0" applyFont="1" applyFill="1" applyBorder="1" applyAlignment="1">
      <alignment horizontal="left"/>
    </xf>
    <xf numFmtId="0" fontId="10" fillId="7" borderId="47" xfId="0" applyFont="1" applyFill="1" applyBorder="1" applyAlignment="1">
      <alignment horizontal="left"/>
    </xf>
    <xf numFmtId="166" fontId="17" fillId="7" borderId="55" xfId="2" applyFont="1" applyFill="1" applyBorder="1" applyAlignment="1">
      <alignment vertical="center"/>
    </xf>
    <xf numFmtId="166" fontId="17" fillId="7" borderId="45" xfId="2" applyFont="1" applyFill="1" applyBorder="1" applyAlignment="1">
      <alignment vertical="center"/>
    </xf>
    <xf numFmtId="166" fontId="17" fillId="7" borderId="36" xfId="2" applyFont="1" applyFill="1" applyBorder="1" applyAlignment="1">
      <alignment vertical="center"/>
    </xf>
    <xf numFmtId="166" fontId="17" fillId="7" borderId="30" xfId="2" applyFont="1" applyFill="1" applyBorder="1" applyAlignment="1">
      <alignment vertical="center"/>
    </xf>
    <xf numFmtId="0" fontId="14" fillId="9" borderId="38" xfId="0" applyFont="1" applyFill="1" applyBorder="1" applyAlignment="1">
      <alignment horizontal="center" vertical="center" wrapText="1"/>
    </xf>
    <xf numFmtId="0" fontId="10" fillId="7" borderId="40" xfId="0" applyFont="1" applyFill="1" applyBorder="1" applyAlignment="1">
      <alignment horizontal="left"/>
    </xf>
    <xf numFmtId="0" fontId="0" fillId="7" borderId="43" xfId="0" applyFill="1" applyBorder="1"/>
    <xf numFmtId="0" fontId="10" fillId="7" borderId="29" xfId="0" applyFont="1" applyFill="1" applyBorder="1" applyAlignment="1">
      <alignment horizontal="left"/>
    </xf>
    <xf numFmtId="0" fontId="10" fillId="7" borderId="58" xfId="0" applyFont="1" applyFill="1" applyBorder="1" applyAlignment="1">
      <alignment horizontal="left"/>
    </xf>
    <xf numFmtId="0" fontId="0" fillId="7" borderId="44" xfId="0" applyFill="1" applyBorder="1"/>
    <xf numFmtId="0" fontId="5" fillId="0" borderId="31" xfId="0" applyFont="1" applyBorder="1" applyAlignment="1">
      <alignment wrapText="1"/>
    </xf>
    <xf numFmtId="167" fontId="0" fillId="4" borderId="59" xfId="0" applyNumberFormat="1" applyFill="1" applyBorder="1" applyAlignment="1">
      <alignment wrapText="1"/>
    </xf>
    <xf numFmtId="0" fontId="10" fillId="7" borderId="33" xfId="0" applyFont="1" applyFill="1" applyBorder="1" applyAlignment="1">
      <alignment horizontal="left"/>
    </xf>
    <xf numFmtId="0" fontId="0" fillId="7" borderId="34" xfId="0" applyFill="1" applyBorder="1"/>
    <xf numFmtId="0" fontId="37" fillId="0" borderId="0" xfId="0" applyFont="1" applyAlignment="1">
      <alignment horizontal="left"/>
    </xf>
    <xf numFmtId="0" fontId="43" fillId="12" borderId="0" xfId="0" applyFont="1" applyFill="1"/>
    <xf numFmtId="0" fontId="44" fillId="9" borderId="14" xfId="0" applyFont="1" applyFill="1" applyBorder="1" applyAlignment="1">
      <alignment horizontal="center" wrapText="1"/>
    </xf>
    <xf numFmtId="0" fontId="40" fillId="2" borderId="6" xfId="0" applyFont="1" applyFill="1" applyBorder="1" applyAlignment="1">
      <alignment wrapText="1"/>
    </xf>
    <xf numFmtId="0" fontId="47" fillId="2" borderId="6" xfId="0" applyFont="1" applyFill="1" applyBorder="1" applyAlignment="1">
      <alignment wrapText="1"/>
    </xf>
    <xf numFmtId="0" fontId="46" fillId="2" borderId="10" xfId="0" applyFont="1" applyFill="1" applyBorder="1" applyAlignment="1">
      <alignment horizontal="center" vertical="top" wrapText="1"/>
    </xf>
    <xf numFmtId="0" fontId="40" fillId="7" borderId="0" xfId="0" applyFont="1" applyFill="1" applyAlignment="1">
      <alignment wrapText="1"/>
    </xf>
    <xf numFmtId="0" fontId="44" fillId="9" borderId="17" xfId="0" applyFont="1" applyFill="1" applyBorder="1" applyAlignment="1">
      <alignment wrapText="1"/>
    </xf>
    <xf numFmtId="0" fontId="44" fillId="9" borderId="0" xfId="0" applyFont="1" applyFill="1" applyAlignment="1">
      <alignment wrapText="1"/>
    </xf>
    <xf numFmtId="0" fontId="44" fillId="9" borderId="8" xfId="0" applyFont="1" applyFill="1" applyBorder="1" applyAlignment="1">
      <alignment wrapText="1"/>
    </xf>
    <xf numFmtId="0" fontId="31" fillId="7" borderId="0" xfId="0" applyFont="1" applyFill="1" applyAlignment="1">
      <alignment vertical="center" wrapText="1"/>
    </xf>
    <xf numFmtId="0" fontId="9" fillId="0" borderId="0" xfId="0" applyFont="1"/>
    <xf numFmtId="0" fontId="49" fillId="7" borderId="0" xfId="0" applyFont="1" applyFill="1" applyAlignment="1">
      <alignment vertical="center"/>
    </xf>
    <xf numFmtId="0" fontId="50" fillId="7" borderId="0" xfId="0" applyFont="1" applyFill="1" applyAlignment="1">
      <alignment vertical="center" wrapText="1"/>
    </xf>
    <xf numFmtId="0" fontId="52" fillId="7" borderId="0" xfId="0" applyFont="1" applyFill="1" applyAlignment="1">
      <alignment horizontal="left"/>
    </xf>
    <xf numFmtId="0" fontId="36" fillId="7" borderId="0" xfId="0" applyFont="1" applyFill="1"/>
    <xf numFmtId="0" fontId="38" fillId="7" borderId="0" xfId="0" applyFont="1" applyFill="1" applyAlignment="1">
      <alignment horizontal="left" vertical="center"/>
    </xf>
    <xf numFmtId="164" fontId="0" fillId="7" borderId="0" xfId="0" applyNumberFormat="1" applyFill="1"/>
    <xf numFmtId="164" fontId="49" fillId="7" borderId="0" xfId="0" applyNumberFormat="1" applyFont="1" applyFill="1" applyAlignment="1">
      <alignment vertical="center"/>
    </xf>
    <xf numFmtId="164" fontId="44" fillId="9" borderId="14" xfId="0" applyNumberFormat="1" applyFont="1" applyFill="1" applyBorder="1" applyAlignment="1">
      <alignment horizontal="center" wrapText="1"/>
    </xf>
    <xf numFmtId="164" fontId="40" fillId="7" borderId="0" xfId="0" applyNumberFormat="1" applyFont="1" applyFill="1" applyAlignment="1">
      <alignment wrapText="1"/>
    </xf>
    <xf numFmtId="164" fontId="38" fillId="7" borderId="0" xfId="0" applyNumberFormat="1" applyFont="1" applyFill="1" applyAlignment="1">
      <alignment horizontal="left" vertical="center"/>
    </xf>
    <xf numFmtId="164" fontId="51" fillId="7" borderId="0" xfId="0" applyNumberFormat="1" applyFont="1" applyFill="1" applyAlignment="1">
      <alignment horizontal="left"/>
    </xf>
    <xf numFmtId="164" fontId="51" fillId="7" borderId="0" xfId="0" applyNumberFormat="1" applyFont="1" applyFill="1" applyAlignment="1">
      <alignment horizontal="left" wrapText="1"/>
    </xf>
    <xf numFmtId="9" fontId="0" fillId="7" borderId="0" xfId="0" applyNumberFormat="1" applyFill="1"/>
    <xf numFmtId="9" fontId="38" fillId="7" borderId="0" xfId="0" applyNumberFormat="1" applyFont="1" applyFill="1" applyAlignment="1">
      <alignment horizontal="left" vertical="center"/>
    </xf>
    <xf numFmtId="9" fontId="51" fillId="7" borderId="0" xfId="0" applyNumberFormat="1" applyFont="1" applyFill="1" applyAlignment="1">
      <alignment horizontal="left"/>
    </xf>
    <xf numFmtId="9" fontId="44" fillId="9" borderId="14" xfId="0" applyNumberFormat="1" applyFont="1" applyFill="1" applyBorder="1" applyAlignment="1">
      <alignment horizontal="center" wrapText="1"/>
    </xf>
    <xf numFmtId="9" fontId="40" fillId="10" borderId="6" xfId="0" quotePrefix="1" applyNumberFormat="1" applyFont="1" applyFill="1" applyBorder="1" applyAlignment="1">
      <alignment horizontal="center" wrapText="1"/>
    </xf>
    <xf numFmtId="9" fontId="40" fillId="7" borderId="0" xfId="0" applyNumberFormat="1" applyFont="1" applyFill="1" applyAlignment="1">
      <alignment wrapText="1"/>
    </xf>
    <xf numFmtId="0" fontId="53" fillId="7" borderId="0" xfId="0" applyFont="1" applyFill="1" applyAlignment="1">
      <alignment horizontal="left"/>
    </xf>
    <xf numFmtId="0" fontId="48" fillId="7" borderId="0" xfId="0" quotePrefix="1" applyFont="1" applyFill="1" applyAlignment="1">
      <alignment horizontal="left"/>
    </xf>
    <xf numFmtId="0" fontId="17" fillId="7" borderId="4" xfId="0" applyFont="1" applyFill="1" applyBorder="1" applyAlignment="1">
      <alignment wrapText="1"/>
    </xf>
    <xf numFmtId="0" fontId="54" fillId="0" borderId="9" xfId="1" applyFont="1" applyBorder="1" applyAlignment="1">
      <alignment wrapText="1"/>
    </xf>
    <xf numFmtId="0" fontId="42" fillId="9" borderId="0" xfId="0" applyFont="1" applyFill="1" applyAlignment="1">
      <alignment horizontal="center" vertical="center"/>
    </xf>
    <xf numFmtId="0" fontId="56" fillId="7" borderId="0" xfId="0" applyFont="1" applyFill="1" applyAlignment="1">
      <alignment horizontal="left"/>
    </xf>
    <xf numFmtId="0" fontId="23" fillId="7" borderId="0" xfId="0" applyFont="1" applyFill="1" applyAlignment="1">
      <alignment horizontal="left"/>
    </xf>
    <xf numFmtId="0" fontId="57" fillId="7" borderId="0" xfId="0" quotePrefix="1" applyFont="1" applyFill="1" applyAlignment="1">
      <alignment horizontal="left"/>
    </xf>
    <xf numFmtId="0" fontId="9" fillId="7" borderId="0" xfId="0" applyFont="1" applyFill="1"/>
    <xf numFmtId="0" fontId="47" fillId="3" borderId="0" xfId="0" applyFont="1" applyFill="1" applyAlignment="1">
      <alignment vertical="top" wrapText="1"/>
    </xf>
    <xf numFmtId="0" fontId="47" fillId="7" borderId="0" xfId="0" applyFont="1" applyFill="1"/>
    <xf numFmtId="0" fontId="55" fillId="7" borderId="0" xfId="0" applyFont="1" applyFill="1"/>
    <xf numFmtId="0" fontId="44" fillId="9" borderId="14" xfId="0" applyFont="1" applyFill="1" applyBorder="1" applyAlignment="1">
      <alignment horizontal="center" vertical="top" wrapText="1"/>
    </xf>
    <xf numFmtId="0" fontId="39" fillId="9" borderId="0" xfId="0" applyFont="1" applyFill="1" applyAlignment="1">
      <alignment vertical="top"/>
    </xf>
    <xf numFmtId="0" fontId="44" fillId="7" borderId="0" xfId="0" applyFont="1" applyFill="1" applyAlignment="1">
      <alignment wrapText="1"/>
    </xf>
    <xf numFmtId="0" fontId="47" fillId="3" borderId="0" xfId="0" applyFont="1" applyFill="1" applyAlignment="1">
      <alignment wrapText="1"/>
    </xf>
    <xf numFmtId="0" fontId="41" fillId="9" borderId="17" xfId="0" applyFont="1" applyFill="1" applyBorder="1" applyAlignment="1">
      <alignment wrapText="1"/>
    </xf>
    <xf numFmtId="0" fontId="55" fillId="0" borderId="20" xfId="0" applyFont="1" applyBorder="1" applyAlignment="1">
      <alignment vertical="top" wrapText="1"/>
    </xf>
    <xf numFmtId="0" fontId="47" fillId="0" borderId="20" xfId="0" applyFont="1" applyBorder="1" applyAlignment="1">
      <alignment vertical="top"/>
    </xf>
    <xf numFmtId="0" fontId="55" fillId="0" borderId="20" xfId="0" applyFont="1" applyBorder="1" applyAlignment="1">
      <alignment vertical="top"/>
    </xf>
    <xf numFmtId="0" fontId="47" fillId="10" borderId="61" xfId="0" applyFont="1" applyFill="1" applyBorder="1" applyAlignment="1">
      <alignment vertical="top"/>
    </xf>
    <xf numFmtId="0" fontId="41" fillId="9" borderId="0" xfId="0" applyFont="1" applyFill="1" applyAlignment="1">
      <alignment vertical="top" wrapText="1"/>
    </xf>
    <xf numFmtId="0" fontId="66" fillId="7" borderId="0" xfId="0" applyFont="1" applyFill="1"/>
    <xf numFmtId="164" fontId="0" fillId="6" borderId="6" xfId="2" quotePrefix="1" applyNumberFormat="1" applyFont="1" applyFill="1" applyBorder="1" applyAlignment="1">
      <alignment horizontal="center" wrapText="1"/>
    </xf>
    <xf numFmtId="0" fontId="31" fillId="6" borderId="11" xfId="0" applyFont="1" applyFill="1" applyBorder="1" applyAlignment="1">
      <alignment wrapText="1"/>
    </xf>
    <xf numFmtId="49" fontId="9" fillId="6" borderId="19" xfId="0" applyNumberFormat="1" applyFont="1" applyFill="1" applyBorder="1" applyAlignment="1">
      <alignment wrapText="1"/>
    </xf>
    <xf numFmtId="49" fontId="1" fillId="6" borderId="2" xfId="0" applyNumberFormat="1" applyFont="1" applyFill="1" applyBorder="1" applyAlignment="1">
      <alignment horizontal="center" vertical="top" wrapText="1"/>
    </xf>
    <xf numFmtId="49" fontId="1" fillId="6" borderId="16" xfId="0" applyNumberFormat="1" applyFont="1" applyFill="1" applyBorder="1" applyAlignment="1">
      <alignment horizontal="left" vertical="center" wrapText="1"/>
    </xf>
    <xf numFmtId="0" fontId="46" fillId="6" borderId="10" xfId="0" applyFont="1" applyFill="1" applyBorder="1" applyAlignment="1">
      <alignment horizontal="center" vertical="top" wrapText="1"/>
    </xf>
    <xf numFmtId="0" fontId="45" fillId="6" borderId="12" xfId="0" applyFont="1" applyFill="1" applyBorder="1" applyAlignment="1">
      <alignment horizontal="center" vertical="top" wrapText="1"/>
    </xf>
    <xf numFmtId="0" fontId="31" fillId="6" borderId="7" xfId="0" applyFont="1" applyFill="1" applyBorder="1" applyAlignment="1">
      <alignment wrapText="1"/>
    </xf>
    <xf numFmtId="0" fontId="45" fillId="6" borderId="2" xfId="0" applyFont="1" applyFill="1" applyBorder="1" applyAlignment="1">
      <alignment horizontal="center" vertical="top" wrapText="1"/>
    </xf>
    <xf numFmtId="0" fontId="45" fillId="6" borderId="16" xfId="0" applyFont="1" applyFill="1" applyBorder="1" applyAlignment="1">
      <alignment horizontal="left" vertical="center" wrapText="1"/>
    </xf>
    <xf numFmtId="9" fontId="47" fillId="10" borderId="3" xfId="0" applyNumberFormat="1" applyFont="1" applyFill="1" applyBorder="1" applyAlignment="1">
      <alignment wrapText="1"/>
    </xf>
    <xf numFmtId="9" fontId="47" fillId="10" borderId="2" xfId="0" applyNumberFormat="1" applyFont="1" applyFill="1" applyBorder="1"/>
    <xf numFmtId="9" fontId="31" fillId="6" borderId="14" xfId="0" applyNumberFormat="1" applyFont="1" applyFill="1" applyBorder="1"/>
    <xf numFmtId="164" fontId="44" fillId="9" borderId="14" xfId="0" applyNumberFormat="1" applyFont="1" applyFill="1" applyBorder="1" applyAlignment="1">
      <alignment horizontal="center" vertical="top" wrapText="1"/>
    </xf>
    <xf numFmtId="164" fontId="44" fillId="9" borderId="14" xfId="0" applyNumberFormat="1" applyFont="1" applyFill="1" applyBorder="1" applyAlignment="1">
      <alignment horizontal="left" vertical="top" wrapText="1"/>
    </xf>
    <xf numFmtId="0" fontId="46" fillId="2" borderId="82" xfId="0" applyFont="1" applyFill="1" applyBorder="1" applyAlignment="1">
      <alignment horizontal="left" vertical="top" wrapText="1"/>
    </xf>
    <xf numFmtId="0" fontId="67" fillId="10" borderId="0" xfId="0" applyFont="1" applyFill="1"/>
    <xf numFmtId="17" fontId="0" fillId="0" borderId="0" xfId="0" applyNumberFormat="1"/>
    <xf numFmtId="0" fontId="44" fillId="9" borderId="14" xfId="0" applyFont="1" applyFill="1" applyBorder="1" applyAlignment="1">
      <alignment horizontal="left" vertical="top" wrapText="1"/>
    </xf>
    <xf numFmtId="0" fontId="47" fillId="0" borderId="0" xfId="0" applyFont="1"/>
    <xf numFmtId="0" fontId="55" fillId="0" borderId="0" xfId="0" applyFont="1"/>
    <xf numFmtId="0" fontId="47" fillId="0" borderId="0" xfId="0" applyFont="1" applyAlignment="1">
      <alignment wrapText="1"/>
    </xf>
    <xf numFmtId="0" fontId="67" fillId="10" borderId="0" xfId="0" applyFont="1" applyFill="1" applyAlignment="1">
      <alignment vertical="center"/>
    </xf>
    <xf numFmtId="0" fontId="55" fillId="0" borderId="0" xfId="0" applyFont="1" applyAlignment="1">
      <alignment wrapText="1"/>
    </xf>
    <xf numFmtId="0" fontId="67" fillId="13" borderId="0" xfId="0" applyFont="1" applyFill="1"/>
    <xf numFmtId="0" fontId="42" fillId="9" borderId="0" xfId="0" applyFont="1" applyFill="1" applyAlignment="1">
      <alignment vertical="top"/>
    </xf>
    <xf numFmtId="0" fontId="42" fillId="7" borderId="0" xfId="0" applyFont="1" applyFill="1" applyAlignment="1">
      <alignment vertical="top"/>
    </xf>
    <xf numFmtId="49" fontId="47" fillId="7" borderId="0" xfId="0" applyNumberFormat="1" applyFont="1" applyFill="1" applyAlignment="1">
      <alignment horizontal="left" vertical="top" wrapText="1"/>
    </xf>
    <xf numFmtId="0" fontId="55" fillId="7" borderId="0" xfId="0" applyFont="1" applyFill="1" applyAlignment="1">
      <alignment horizontal="left" vertical="top"/>
    </xf>
    <xf numFmtId="166" fontId="47" fillId="10" borderId="2" xfId="2" applyFont="1" applyFill="1" applyBorder="1" applyAlignment="1">
      <alignment wrapText="1"/>
    </xf>
    <xf numFmtId="166" fontId="31" fillId="6" borderId="14" xfId="2" applyFont="1" applyFill="1" applyBorder="1"/>
    <xf numFmtId="166" fontId="47" fillId="10" borderId="6" xfId="2" applyFont="1" applyFill="1" applyBorder="1" applyAlignment="1">
      <alignment wrapText="1"/>
    </xf>
    <xf numFmtId="0" fontId="71" fillId="7" borderId="0" xfId="0" applyFont="1" applyFill="1"/>
    <xf numFmtId="0" fontId="71" fillId="10" borderId="0" xfId="0" applyFont="1" applyFill="1"/>
    <xf numFmtId="168" fontId="31" fillId="6" borderId="11" xfId="0" applyNumberFormat="1" applyFont="1" applyFill="1" applyBorder="1" applyAlignment="1">
      <alignment horizontal="left" wrapText="1"/>
    </xf>
    <xf numFmtId="164" fontId="47" fillId="10" borderId="6" xfId="0" applyNumberFormat="1" applyFont="1" applyFill="1" applyBorder="1" applyAlignment="1">
      <alignment horizontal="left" wrapText="1"/>
    </xf>
    <xf numFmtId="0" fontId="6" fillId="0" borderId="0" xfId="0" applyFont="1"/>
    <xf numFmtId="43" fontId="0" fillId="0" borderId="0" xfId="0" applyNumberFormat="1"/>
    <xf numFmtId="169" fontId="31" fillId="6" borderId="14" xfId="2" applyNumberFormat="1" applyFont="1" applyFill="1" applyBorder="1"/>
    <xf numFmtId="169" fontId="40" fillId="10" borderId="6" xfId="2" applyNumberFormat="1" applyFont="1" applyFill="1" applyBorder="1" applyAlignment="1">
      <alignment wrapText="1"/>
    </xf>
    <xf numFmtId="169" fontId="47" fillId="10" borderId="2" xfId="2" applyNumberFormat="1" applyFont="1" applyFill="1" applyBorder="1" applyAlignment="1"/>
    <xf numFmtId="169" fontId="47" fillId="10" borderId="2" xfId="2" applyNumberFormat="1" applyFont="1" applyFill="1" applyBorder="1"/>
    <xf numFmtId="169" fontId="47" fillId="2" borderId="2" xfId="2" applyNumberFormat="1" applyFont="1" applyFill="1" applyBorder="1" applyAlignment="1">
      <alignment wrapText="1"/>
    </xf>
    <xf numFmtId="169" fontId="47" fillId="10" borderId="1" xfId="2" applyNumberFormat="1" applyFont="1" applyFill="1" applyBorder="1" applyAlignment="1">
      <alignment wrapText="1"/>
    </xf>
    <xf numFmtId="169" fontId="47" fillId="2" borderId="1" xfId="2" applyNumberFormat="1" applyFont="1" applyFill="1" applyBorder="1" applyAlignment="1">
      <alignment wrapText="1"/>
    </xf>
    <xf numFmtId="169" fontId="47" fillId="10" borderId="2" xfId="2" applyNumberFormat="1" applyFont="1" applyFill="1" applyBorder="1" applyAlignment="1">
      <alignment wrapText="1"/>
    </xf>
    <xf numFmtId="165" fontId="0" fillId="0" borderId="0" xfId="0" applyNumberFormat="1"/>
    <xf numFmtId="4" fontId="0" fillId="7" borderId="0" xfId="0" applyNumberFormat="1" applyFill="1"/>
    <xf numFmtId="3" fontId="0" fillId="7" borderId="0" xfId="0" applyNumberFormat="1" applyFill="1"/>
    <xf numFmtId="49" fontId="4" fillId="6" borderId="1" xfId="0" applyNumberFormat="1" applyFont="1" applyFill="1" applyBorder="1" applyAlignment="1">
      <alignment horizontal="center" vertical="top" wrapText="1"/>
    </xf>
    <xf numFmtId="0" fontId="17" fillId="7" borderId="46" xfId="0" applyFont="1" applyFill="1" applyBorder="1" applyAlignment="1">
      <alignment vertical="center"/>
    </xf>
    <xf numFmtId="0" fontId="17" fillId="7" borderId="47" xfId="0" applyFont="1" applyFill="1" applyBorder="1" applyAlignment="1">
      <alignment vertical="center"/>
    </xf>
    <xf numFmtId="0" fontId="17" fillId="7" borderId="54" xfId="0" applyFont="1" applyFill="1" applyBorder="1" applyAlignment="1">
      <alignment vertical="center"/>
    </xf>
    <xf numFmtId="0" fontId="54" fillId="7" borderId="0" xfId="1" applyFont="1" applyFill="1" applyAlignment="1">
      <alignment vertical="center" wrapText="1"/>
    </xf>
    <xf numFmtId="0" fontId="72" fillId="7" borderId="0" xfId="0" applyFont="1" applyFill="1"/>
    <xf numFmtId="0" fontId="73" fillId="7" borderId="0" xfId="0" applyFont="1" applyFill="1"/>
    <xf numFmtId="166" fontId="47" fillId="10" borderId="2" xfId="2" applyFont="1" applyFill="1" applyBorder="1" applyAlignment="1" applyProtection="1">
      <alignment wrapText="1"/>
      <protection locked="0"/>
    </xf>
    <xf numFmtId="49" fontId="0" fillId="2" borderId="2" xfId="0" applyNumberFormat="1" applyFill="1" applyBorder="1" applyAlignment="1" applyProtection="1">
      <alignment wrapText="1"/>
      <protection locked="0"/>
    </xf>
    <xf numFmtId="49" fontId="47" fillId="10" borderId="2" xfId="2" applyNumberFormat="1" applyFont="1" applyFill="1" applyBorder="1" applyAlignment="1" applyProtection="1">
      <alignment wrapText="1"/>
      <protection locked="0"/>
    </xf>
    <xf numFmtId="166" fontId="47" fillId="10" borderId="6" xfId="2" applyFont="1" applyFill="1" applyBorder="1" applyAlignment="1" applyProtection="1">
      <alignment wrapText="1"/>
      <protection locked="0"/>
    </xf>
    <xf numFmtId="0" fontId="6" fillId="5" borderId="67" xfId="0" applyFont="1" applyFill="1" applyBorder="1" applyAlignment="1" applyProtection="1">
      <alignment wrapText="1"/>
      <protection locked="0"/>
    </xf>
    <xf numFmtId="0" fontId="6" fillId="5" borderId="68" xfId="0" applyFont="1" applyFill="1" applyBorder="1" applyAlignment="1" applyProtection="1">
      <alignment vertical="top" wrapText="1"/>
      <protection locked="0"/>
    </xf>
    <xf numFmtId="0" fontId="6" fillId="0" borderId="71" xfId="0" applyFont="1" applyBorder="1" applyAlignment="1" applyProtection="1">
      <alignment horizontal="left" vertical="top" wrapText="1"/>
      <protection locked="0"/>
    </xf>
    <xf numFmtId="0" fontId="6" fillId="0" borderId="72" xfId="0" applyFont="1" applyBorder="1" applyAlignment="1" applyProtection="1">
      <alignment horizontal="left" vertical="top" wrapText="1"/>
      <protection locked="0"/>
    </xf>
    <xf numFmtId="0" fontId="6" fillId="0" borderId="73" xfId="0" applyFont="1" applyBorder="1" applyAlignment="1" applyProtection="1">
      <alignment horizontal="left" vertical="top" wrapText="1"/>
      <protection locked="0"/>
    </xf>
    <xf numFmtId="0" fontId="6" fillId="0" borderId="74" xfId="0" applyFont="1" applyBorder="1" applyAlignment="1" applyProtection="1">
      <alignment horizontal="left" vertical="top" wrapText="1"/>
      <protection locked="0"/>
    </xf>
    <xf numFmtId="0" fontId="6" fillId="5" borderId="69" xfId="0" applyFont="1" applyFill="1" applyBorder="1" applyAlignment="1" applyProtection="1">
      <alignment wrapText="1"/>
      <protection locked="0"/>
    </xf>
    <xf numFmtId="0" fontId="6" fillId="5" borderId="70" xfId="0" applyFont="1" applyFill="1" applyBorder="1" applyAlignment="1" applyProtection="1">
      <alignment vertical="top" wrapText="1"/>
      <protection locked="0"/>
    </xf>
    <xf numFmtId="0" fontId="6" fillId="0" borderId="75" xfId="0" applyFont="1" applyBorder="1" applyAlignment="1" applyProtection="1">
      <alignment horizontal="left" vertical="top" wrapText="1"/>
      <protection locked="0"/>
    </xf>
    <xf numFmtId="0" fontId="6" fillId="0" borderId="21" xfId="0" applyFont="1" applyBorder="1" applyAlignment="1" applyProtection="1">
      <alignment horizontal="left" vertical="top" wrapText="1"/>
      <protection locked="0"/>
    </xf>
    <xf numFmtId="164" fontId="51" fillId="7" borderId="0" xfId="0" applyNumberFormat="1" applyFont="1" applyFill="1" applyAlignment="1" applyProtection="1">
      <alignment horizontal="left" wrapText="1"/>
      <protection locked="0"/>
    </xf>
    <xf numFmtId="0" fontId="65" fillId="2" borderId="6" xfId="0" applyFont="1" applyFill="1" applyBorder="1" applyAlignment="1" applyProtection="1">
      <alignment wrapText="1"/>
      <protection locked="0"/>
    </xf>
    <xf numFmtId="166" fontId="47" fillId="10" borderId="2" xfId="2" applyFont="1" applyFill="1" applyBorder="1" applyAlignment="1" applyProtection="1">
      <protection locked="0"/>
    </xf>
    <xf numFmtId="166" fontId="47" fillId="2" borderId="2" xfId="2" applyFont="1" applyFill="1" applyBorder="1" applyAlignment="1" applyProtection="1">
      <alignment wrapText="1"/>
      <protection locked="0"/>
    </xf>
    <xf numFmtId="0" fontId="46" fillId="7" borderId="0" xfId="0" applyFont="1" applyFill="1" applyProtection="1">
      <protection locked="0"/>
    </xf>
    <xf numFmtId="0" fontId="47" fillId="7" borderId="0" xfId="0" applyFont="1" applyFill="1" applyProtection="1">
      <protection locked="0"/>
    </xf>
    <xf numFmtId="170" fontId="47" fillId="10" borderId="6" xfId="0" applyNumberFormat="1" applyFont="1" applyFill="1" applyBorder="1" applyAlignment="1" applyProtection="1">
      <alignment horizontal="right" wrapText="1"/>
      <protection locked="0"/>
    </xf>
    <xf numFmtId="164" fontId="47" fillId="10" borderId="6" xfId="0" applyNumberFormat="1" applyFont="1" applyFill="1" applyBorder="1" applyAlignment="1" applyProtection="1">
      <alignment horizontal="right" wrapText="1"/>
      <protection locked="0"/>
    </xf>
    <xf numFmtId="0" fontId="67" fillId="10" borderId="0" xfId="0" applyFont="1" applyFill="1" applyProtection="1">
      <protection locked="0"/>
    </xf>
    <xf numFmtId="0" fontId="67" fillId="10" borderId="0" xfId="0" applyFont="1" applyFill="1" applyAlignment="1" applyProtection="1">
      <alignment vertical="center"/>
      <protection locked="0"/>
    </xf>
    <xf numFmtId="0" fontId="70" fillId="10" borderId="0" xfId="0" applyFont="1" applyFill="1" applyAlignment="1" applyProtection="1">
      <alignment horizontal="center" vertical="center"/>
      <protection locked="0"/>
    </xf>
    <xf numFmtId="0" fontId="41" fillId="9" borderId="60" xfId="0" applyFont="1" applyFill="1" applyBorder="1" applyAlignment="1">
      <alignment vertical="top" wrapText="1"/>
    </xf>
    <xf numFmtId="0" fontId="47" fillId="7" borderId="60" xfId="0" applyFont="1" applyFill="1" applyBorder="1" applyAlignment="1">
      <alignment vertical="top" wrapText="1"/>
    </xf>
    <xf numFmtId="0" fontId="55" fillId="7" borderId="60" xfId="0" applyFont="1" applyFill="1" applyBorder="1" applyAlignment="1">
      <alignment vertical="top" wrapText="1"/>
    </xf>
    <xf numFmtId="0" fontId="47" fillId="7" borderId="28" xfId="0" applyFont="1" applyFill="1" applyBorder="1" applyAlignment="1">
      <alignment vertical="top" wrapText="1"/>
    </xf>
    <xf numFmtId="0" fontId="55" fillId="7" borderId="28" xfId="0" applyFont="1" applyFill="1" applyBorder="1" applyAlignment="1">
      <alignment vertical="top" wrapText="1"/>
    </xf>
    <xf numFmtId="166" fontId="0" fillId="7" borderId="0" xfId="2" applyFont="1" applyFill="1"/>
    <xf numFmtId="166" fontId="0" fillId="11" borderId="0" xfId="2" applyFont="1" applyFill="1" applyAlignment="1">
      <alignment horizontal="left" vertical="center"/>
    </xf>
    <xf numFmtId="166" fontId="10" fillId="7" borderId="0" xfId="2" applyFont="1" applyFill="1" applyAlignment="1">
      <alignment horizontal="left"/>
    </xf>
    <xf numFmtId="166" fontId="14" fillId="9" borderId="14" xfId="2" applyFont="1" applyFill="1" applyBorder="1" applyAlignment="1">
      <alignment horizontal="center" wrapText="1"/>
    </xf>
    <xf numFmtId="166" fontId="0" fillId="10" borderId="6" xfId="2" quotePrefix="1" applyFont="1" applyFill="1" applyBorder="1" applyAlignment="1">
      <alignment horizontal="center" wrapText="1"/>
    </xf>
    <xf numFmtId="166" fontId="0" fillId="4" borderId="3" xfId="2" applyFont="1" applyFill="1" applyBorder="1"/>
    <xf numFmtId="166" fontId="13" fillId="6" borderId="0" xfId="2" applyFont="1" applyFill="1" applyAlignment="1">
      <alignment horizontal="center" wrapText="1"/>
    </xf>
    <xf numFmtId="166" fontId="0" fillId="2" borderId="2" xfId="2" applyFont="1" applyFill="1" applyBorder="1" applyAlignment="1">
      <alignment wrapText="1"/>
    </xf>
    <xf numFmtId="166" fontId="0" fillId="4" borderId="18" xfId="2" applyFont="1" applyFill="1" applyBorder="1"/>
    <xf numFmtId="166" fontId="0" fillId="10" borderId="1" xfId="2" applyFont="1" applyFill="1" applyBorder="1" applyAlignment="1">
      <alignment wrapText="1"/>
    </xf>
    <xf numFmtId="166" fontId="0" fillId="2" borderId="1" xfId="2" applyFont="1" applyFill="1" applyBorder="1" applyAlignment="1">
      <alignment wrapText="1"/>
    </xf>
    <xf numFmtId="166" fontId="0" fillId="4" borderId="2" xfId="2" applyFont="1" applyFill="1" applyBorder="1"/>
    <xf numFmtId="166" fontId="0" fillId="7" borderId="0" xfId="2" applyFont="1" applyFill="1" applyAlignment="1">
      <alignment wrapText="1"/>
    </xf>
    <xf numFmtId="166" fontId="0" fillId="10" borderId="2" xfId="2" applyFont="1" applyFill="1" applyBorder="1"/>
    <xf numFmtId="166" fontId="13" fillId="6" borderId="0" xfId="2" applyFont="1" applyFill="1" applyAlignment="1">
      <alignment wrapText="1"/>
    </xf>
    <xf numFmtId="166" fontId="0" fillId="4" borderId="18" xfId="2" applyFont="1" applyFill="1" applyBorder="1" applyAlignment="1">
      <alignment wrapText="1"/>
    </xf>
    <xf numFmtId="166" fontId="13" fillId="6" borderId="8" xfId="2" applyFont="1" applyFill="1" applyBorder="1" applyAlignment="1">
      <alignment wrapText="1"/>
    </xf>
    <xf numFmtId="166" fontId="0" fillId="4" borderId="2" xfId="2" applyFont="1" applyFill="1" applyBorder="1" applyAlignment="1">
      <alignment wrapText="1"/>
    </xf>
    <xf numFmtId="10" fontId="0" fillId="7" borderId="0" xfId="0" applyNumberFormat="1" applyFill="1"/>
    <xf numFmtId="10" fontId="0" fillId="11" borderId="0" xfId="0" applyNumberFormat="1" applyFill="1" applyAlignment="1">
      <alignment horizontal="left" vertical="center"/>
    </xf>
    <xf numFmtId="10" fontId="10" fillId="7" borderId="0" xfId="0" applyNumberFormat="1" applyFont="1" applyFill="1" applyAlignment="1">
      <alignment horizontal="left"/>
    </xf>
    <xf numFmtId="10" fontId="14" fillId="9" borderId="14" xfId="0" applyNumberFormat="1" applyFont="1" applyFill="1" applyBorder="1" applyAlignment="1">
      <alignment horizontal="center" wrapText="1"/>
    </xf>
    <xf numFmtId="10" fontId="0" fillId="10" borderId="6" xfId="0" quotePrefix="1" applyNumberFormat="1" applyFill="1" applyBorder="1" applyAlignment="1">
      <alignment horizontal="center" wrapText="1"/>
    </xf>
    <xf numFmtId="10" fontId="0" fillId="10" borderId="3" xfId="0" applyNumberFormat="1" applyFill="1" applyBorder="1" applyAlignment="1">
      <alignment wrapText="1"/>
    </xf>
    <xf numFmtId="10" fontId="0" fillId="4" borderId="3" xfId="0" applyNumberFormat="1" applyFill="1" applyBorder="1"/>
    <xf numFmtId="10" fontId="13" fillId="6" borderId="0" xfId="0" applyNumberFormat="1" applyFont="1" applyFill="1" applyAlignment="1">
      <alignment horizontal="center" wrapText="1"/>
    </xf>
    <xf numFmtId="10" fontId="0" fillId="2" borderId="2" xfId="0" applyNumberFormat="1" applyFill="1" applyBorder="1" applyAlignment="1">
      <alignment wrapText="1"/>
    </xf>
    <xf numFmtId="10" fontId="0" fillId="4" borderId="18" xfId="0" applyNumberFormat="1" applyFill="1" applyBorder="1"/>
    <xf numFmtId="10" fontId="0" fillId="2" borderId="2" xfId="2" applyNumberFormat="1" applyFont="1" applyFill="1" applyBorder="1" applyAlignment="1">
      <alignment wrapText="1"/>
    </xf>
    <xf numFmtId="10" fontId="0" fillId="10" borderId="1" xfId="0" applyNumberFormat="1" applyFill="1" applyBorder="1" applyAlignment="1">
      <alignment wrapText="1"/>
    </xf>
    <xf numFmtId="10" fontId="0" fillId="10" borderId="1" xfId="2" applyNumberFormat="1" applyFont="1" applyFill="1" applyBorder="1" applyAlignment="1">
      <alignment wrapText="1"/>
    </xf>
    <xf numFmtId="10" fontId="0" fillId="2" borderId="1" xfId="0" applyNumberFormat="1" applyFill="1" applyBorder="1" applyAlignment="1">
      <alignment wrapText="1"/>
    </xf>
    <xf numFmtId="10" fontId="0" fillId="2" borderId="1" xfId="2" applyNumberFormat="1" applyFont="1" applyFill="1" applyBorder="1" applyAlignment="1">
      <alignment wrapText="1"/>
    </xf>
    <xf numFmtId="10" fontId="0" fillId="4" borderId="2" xfId="0" applyNumberFormat="1" applyFill="1" applyBorder="1"/>
    <xf numFmtId="10" fontId="0" fillId="7" borderId="0" xfId="0" applyNumberFormat="1" applyFill="1" applyAlignment="1">
      <alignment wrapText="1"/>
    </xf>
    <xf numFmtId="0" fontId="9" fillId="7" borderId="3" xfId="0" applyFont="1" applyFill="1" applyBorder="1"/>
    <xf numFmtId="0" fontId="67" fillId="0" borderId="0" xfId="0" applyFont="1" applyAlignment="1" applyProtection="1">
      <alignment vertical="center"/>
      <protection locked="0"/>
    </xf>
    <xf numFmtId="164" fontId="47" fillId="10" borderId="6" xfId="0" applyNumberFormat="1" applyFont="1" applyFill="1" applyBorder="1" applyAlignment="1">
      <alignment horizontal="right" wrapText="1"/>
    </xf>
    <xf numFmtId="0" fontId="0" fillId="7" borderId="0" xfId="0" applyFill="1" applyProtection="1">
      <protection locked="0"/>
    </xf>
    <xf numFmtId="0" fontId="50" fillId="7" borderId="0" xfId="0" applyFont="1" applyFill="1" applyAlignment="1" applyProtection="1">
      <alignment vertical="center" wrapText="1"/>
      <protection locked="0"/>
    </xf>
    <xf numFmtId="0" fontId="0" fillId="7" borderId="0" xfId="0" applyFill="1" applyAlignment="1" applyProtection="1">
      <alignment horizontal="left" vertical="center"/>
      <protection locked="0"/>
    </xf>
    <xf numFmtId="164" fontId="49" fillId="7" borderId="0" xfId="0" applyNumberFormat="1" applyFont="1" applyFill="1" applyAlignment="1" applyProtection="1">
      <alignment vertical="center"/>
      <protection locked="0"/>
    </xf>
    <xf numFmtId="0" fontId="10" fillId="7" borderId="0" xfId="0" applyFont="1" applyFill="1" applyAlignment="1" applyProtection="1">
      <alignment horizontal="left"/>
      <protection locked="0"/>
    </xf>
    <xf numFmtId="0" fontId="17" fillId="7" borderId="4" xfId="0" applyFont="1" applyFill="1" applyBorder="1" applyAlignment="1" applyProtection="1">
      <alignment wrapText="1"/>
      <protection locked="0"/>
    </xf>
    <xf numFmtId="164" fontId="44" fillId="9" borderId="14" xfId="0" applyNumberFormat="1" applyFont="1" applyFill="1" applyBorder="1" applyAlignment="1" applyProtection="1">
      <alignment horizontal="center" vertical="top" wrapText="1"/>
      <protection locked="0"/>
    </xf>
    <xf numFmtId="0" fontId="54" fillId="7" borderId="0" xfId="1" applyFont="1" applyFill="1" applyAlignment="1" applyProtection="1">
      <alignment vertical="center" wrapText="1"/>
      <protection locked="0"/>
    </xf>
    <xf numFmtId="0" fontId="54" fillId="0" borderId="9" xfId="1" applyFont="1" applyBorder="1" applyAlignment="1" applyProtection="1">
      <alignment wrapText="1"/>
      <protection locked="0"/>
    </xf>
    <xf numFmtId="0" fontId="31" fillId="6" borderId="11" xfId="0" applyFont="1" applyFill="1" applyBorder="1" applyAlignment="1" applyProtection="1">
      <alignment wrapText="1"/>
      <protection locked="0"/>
    </xf>
    <xf numFmtId="166" fontId="31" fillId="6" borderId="14" xfId="2" applyFont="1" applyFill="1" applyBorder="1" applyAlignment="1" applyProtection="1">
      <protection locked="0"/>
    </xf>
    <xf numFmtId="0" fontId="66" fillId="7" borderId="0" xfId="0" applyFont="1" applyFill="1" applyProtection="1">
      <protection locked="0"/>
    </xf>
    <xf numFmtId="0" fontId="0" fillId="7" borderId="0" xfId="0" applyFill="1" applyAlignment="1" applyProtection="1">
      <alignment wrapText="1"/>
      <protection locked="0"/>
    </xf>
    <xf numFmtId="0" fontId="30" fillId="7" borderId="40" xfId="0" applyFont="1" applyFill="1" applyBorder="1" applyAlignment="1" applyProtection="1">
      <alignment vertical="center" wrapText="1"/>
      <protection locked="0"/>
    </xf>
    <xf numFmtId="49" fontId="63" fillId="7" borderId="40" xfId="0" applyNumberFormat="1" applyFont="1" applyFill="1" applyBorder="1" applyAlignment="1" applyProtection="1">
      <alignment horizontal="left"/>
      <protection locked="0"/>
    </xf>
    <xf numFmtId="164" fontId="44" fillId="9" borderId="65" xfId="0" applyNumberFormat="1" applyFont="1" applyFill="1" applyBorder="1" applyAlignment="1" applyProtection="1">
      <alignment horizontal="center" wrapText="1"/>
      <protection locked="0"/>
    </xf>
    <xf numFmtId="164" fontId="44" fillId="9" borderId="66" xfId="0" applyNumberFormat="1" applyFont="1" applyFill="1" applyBorder="1" applyAlignment="1" applyProtection="1">
      <alignment horizontal="center" wrapText="1"/>
      <protection locked="0"/>
    </xf>
    <xf numFmtId="164" fontId="44" fillId="9" borderId="65" xfId="0" applyNumberFormat="1" applyFont="1" applyFill="1" applyBorder="1" applyAlignment="1" applyProtection="1">
      <alignment horizontal="center" vertical="center" wrapText="1"/>
      <protection locked="0"/>
    </xf>
    <xf numFmtId="164" fontId="44" fillId="9" borderId="66" xfId="0" applyNumberFormat="1" applyFont="1" applyFill="1" applyBorder="1" applyAlignment="1" applyProtection="1">
      <alignment horizontal="center" vertical="center" wrapText="1"/>
      <protection locked="0"/>
    </xf>
    <xf numFmtId="0" fontId="55" fillId="8" borderId="87" xfId="0" applyFont="1" applyFill="1" applyBorder="1" applyAlignment="1" applyProtection="1">
      <alignment vertical="top" wrapText="1"/>
      <protection locked="0"/>
    </xf>
    <xf numFmtId="0" fontId="55" fillId="8" borderId="88" xfId="0" applyFont="1" applyFill="1" applyBorder="1" applyAlignment="1" applyProtection="1">
      <alignment vertical="top" wrapText="1"/>
      <protection locked="0"/>
    </xf>
    <xf numFmtId="0" fontId="55" fillId="8" borderId="28" xfId="0" applyFont="1" applyFill="1" applyBorder="1" applyAlignment="1" applyProtection="1">
      <alignment vertical="top" wrapText="1"/>
      <protection locked="0"/>
    </xf>
    <xf numFmtId="49" fontId="30" fillId="7" borderId="40" xfId="0" applyNumberFormat="1" applyFont="1" applyFill="1" applyBorder="1" applyAlignment="1" applyProtection="1">
      <alignment horizontal="left"/>
      <protection locked="0"/>
    </xf>
    <xf numFmtId="167" fontId="0" fillId="7" borderId="0" xfId="0" applyNumberFormat="1" applyFill="1" applyAlignment="1" applyProtection="1">
      <alignment horizontal="left"/>
      <protection locked="0"/>
    </xf>
    <xf numFmtId="0" fontId="71" fillId="10" borderId="0" xfId="0" applyFont="1" applyFill="1" applyProtection="1">
      <protection locked="0"/>
    </xf>
    <xf numFmtId="0" fontId="0" fillId="10" borderId="0" xfId="0" applyFill="1" applyProtection="1">
      <protection locked="0"/>
    </xf>
    <xf numFmtId="0" fontId="71" fillId="7" borderId="0" xfId="0" applyFont="1" applyFill="1" applyProtection="1">
      <protection locked="0"/>
    </xf>
    <xf numFmtId="0" fontId="49" fillId="7" borderId="0" xfId="0" applyFont="1" applyFill="1" applyAlignment="1" applyProtection="1">
      <alignment vertical="center"/>
      <protection locked="0"/>
    </xf>
    <xf numFmtId="0" fontId="17" fillId="7" borderId="0" xfId="0" applyFont="1" applyFill="1" applyAlignment="1" applyProtection="1">
      <alignment horizontal="center" vertical="center"/>
      <protection locked="0"/>
    </xf>
    <xf numFmtId="0" fontId="44" fillId="9" borderId="14" xfId="0" applyFont="1" applyFill="1" applyBorder="1" applyAlignment="1" applyProtection="1">
      <alignment horizontal="center" vertical="top" wrapText="1"/>
      <protection locked="0"/>
    </xf>
    <xf numFmtId="166" fontId="31" fillId="6" borderId="14" xfId="2" applyFont="1" applyFill="1" applyBorder="1" applyProtection="1">
      <protection locked="0"/>
    </xf>
    <xf numFmtId="49" fontId="9" fillId="6" borderId="19" xfId="0" applyNumberFormat="1" applyFont="1" applyFill="1" applyBorder="1" applyAlignment="1" applyProtection="1">
      <alignment wrapText="1"/>
      <protection locked="0"/>
    </xf>
    <xf numFmtId="49" fontId="1" fillId="6" borderId="2" xfId="0" applyNumberFormat="1" applyFont="1" applyFill="1" applyBorder="1" applyAlignment="1" applyProtection="1">
      <alignment horizontal="center" vertical="top" wrapText="1"/>
      <protection locked="0"/>
    </xf>
    <xf numFmtId="49" fontId="1" fillId="6" borderId="16" xfId="0" applyNumberFormat="1" applyFont="1" applyFill="1" applyBorder="1" applyAlignment="1" applyProtection="1">
      <alignment horizontal="left" vertical="center" wrapText="1"/>
      <protection locked="0"/>
    </xf>
    <xf numFmtId="164" fontId="38" fillId="7" borderId="0" xfId="0" applyNumberFormat="1" applyFont="1" applyFill="1" applyAlignment="1" applyProtection="1">
      <alignment horizontal="left" vertical="center"/>
      <protection locked="0"/>
    </xf>
    <xf numFmtId="164" fontId="51" fillId="7" borderId="0" xfId="0" applyNumberFormat="1" applyFont="1" applyFill="1" applyAlignment="1" applyProtection="1">
      <alignment horizontal="left"/>
      <protection locked="0"/>
    </xf>
    <xf numFmtId="164" fontId="44" fillId="9" borderId="14" xfId="0" applyNumberFormat="1" applyFont="1" applyFill="1" applyBorder="1" applyAlignment="1" applyProtection="1">
      <alignment horizontal="center" wrapText="1"/>
      <protection locked="0"/>
    </xf>
    <xf numFmtId="0" fontId="46" fillId="6" borderId="10" xfId="0" applyFont="1" applyFill="1" applyBorder="1" applyAlignment="1" applyProtection="1">
      <alignment horizontal="center" vertical="top" wrapText="1"/>
      <protection locked="0"/>
    </xf>
    <xf numFmtId="0" fontId="36" fillId="7" borderId="0" xfId="0" applyFont="1" applyFill="1" applyProtection="1">
      <protection locked="0"/>
    </xf>
    <xf numFmtId="0" fontId="45" fillId="6" borderId="12" xfId="0" applyFont="1" applyFill="1" applyBorder="1" applyAlignment="1" applyProtection="1">
      <alignment horizontal="center" vertical="top" wrapText="1"/>
      <protection locked="0"/>
    </xf>
    <xf numFmtId="0" fontId="45" fillId="6" borderId="2" xfId="0" applyFont="1" applyFill="1" applyBorder="1" applyAlignment="1" applyProtection="1">
      <alignment horizontal="center" vertical="top" wrapText="1"/>
      <protection locked="0"/>
    </xf>
    <xf numFmtId="0" fontId="31" fillId="7" borderId="0" xfId="0" applyFont="1" applyFill="1" applyAlignment="1" applyProtection="1">
      <alignment wrapText="1"/>
      <protection locked="0"/>
    </xf>
    <xf numFmtId="164" fontId="31" fillId="7" borderId="0" xfId="0" applyNumberFormat="1" applyFont="1" applyFill="1" applyProtection="1">
      <protection locked="0"/>
    </xf>
    <xf numFmtId="0" fontId="45" fillId="7" borderId="0" xfId="0" applyFont="1" applyFill="1" applyAlignment="1" applyProtection="1">
      <alignment horizontal="left" vertical="center" wrapText="1"/>
      <protection locked="0"/>
    </xf>
    <xf numFmtId="0" fontId="44" fillId="7" borderId="0" xfId="0" applyFont="1" applyFill="1" applyAlignment="1" applyProtection="1">
      <alignment wrapText="1"/>
      <protection locked="0"/>
    </xf>
    <xf numFmtId="0" fontId="40" fillId="7" borderId="0" xfId="0" applyFont="1" applyFill="1" applyAlignment="1" applyProtection="1">
      <alignment wrapText="1"/>
      <protection locked="0"/>
    </xf>
    <xf numFmtId="164" fontId="40" fillId="7" borderId="0" xfId="0" applyNumberFormat="1" applyFont="1" applyFill="1" applyAlignment="1" applyProtection="1">
      <alignment wrapText="1"/>
      <protection locked="0"/>
    </xf>
    <xf numFmtId="0" fontId="55" fillId="7" borderId="0" xfId="0" applyFont="1" applyFill="1" applyAlignment="1" applyProtection="1">
      <alignment horizontal="left" vertical="top"/>
      <protection locked="0"/>
    </xf>
    <xf numFmtId="0" fontId="45" fillId="7" borderId="0" xfId="0" applyFont="1" applyFill="1" applyProtection="1">
      <protection locked="0"/>
    </xf>
    <xf numFmtId="0" fontId="55" fillId="7" borderId="0" xfId="0" applyFont="1" applyFill="1" applyProtection="1">
      <protection locked="0"/>
    </xf>
    <xf numFmtId="164" fontId="0" fillId="7" borderId="0" xfId="0" applyNumberFormat="1" applyFill="1" applyProtection="1">
      <protection locked="0"/>
    </xf>
    <xf numFmtId="0" fontId="17" fillId="7" borderId="0" xfId="0" applyFont="1" applyFill="1" applyProtection="1">
      <protection locked="0"/>
    </xf>
    <xf numFmtId="0" fontId="64" fillId="6" borderId="0" xfId="1" applyFont="1" applyFill="1" applyBorder="1" applyAlignment="1" applyProtection="1">
      <alignment horizontal="center" vertical="center" wrapText="1"/>
      <protection locked="0"/>
    </xf>
    <xf numFmtId="0" fontId="78" fillId="0" borderId="0" xfId="0" applyFont="1" applyAlignment="1">
      <alignment horizontal="left" vertical="top" wrapText="1"/>
    </xf>
    <xf numFmtId="171" fontId="0" fillId="0" borderId="0" xfId="0" applyNumberFormat="1" applyAlignment="1">
      <alignment horizontal="left"/>
    </xf>
    <xf numFmtId="14" fontId="0" fillId="0" borderId="0" xfId="0" applyNumberFormat="1" applyAlignment="1">
      <alignment horizontal="left"/>
    </xf>
    <xf numFmtId="0" fontId="0" fillId="0" borderId="0" xfId="0" applyAlignment="1">
      <alignment horizontal="left"/>
    </xf>
    <xf numFmtId="0" fontId="80" fillId="7" borderId="0" xfId="0" applyFont="1" applyFill="1"/>
    <xf numFmtId="0" fontId="80" fillId="7" borderId="0" xfId="0" applyFont="1" applyFill="1" applyAlignment="1">
      <alignment wrapText="1"/>
    </xf>
    <xf numFmtId="9" fontId="36" fillId="7" borderId="0" xfId="0" applyNumberFormat="1" applyFont="1" applyFill="1"/>
    <xf numFmtId="9" fontId="81" fillId="7" borderId="0" xfId="0" applyNumberFormat="1" applyFont="1" applyFill="1" applyAlignment="1">
      <alignment horizontal="left" vertical="center"/>
    </xf>
    <xf numFmtId="0" fontId="79" fillId="7" borderId="0" xfId="0" applyFont="1" applyFill="1"/>
    <xf numFmtId="49" fontId="82" fillId="7" borderId="0" xfId="0" applyNumberFormat="1" applyFont="1" applyFill="1" applyAlignment="1">
      <alignment horizontal="left" vertical="top" wrapText="1"/>
    </xf>
    <xf numFmtId="0" fontId="44" fillId="7" borderId="0" xfId="0" applyFont="1" applyFill="1" applyAlignment="1">
      <alignment horizontal="left" vertical="top"/>
    </xf>
    <xf numFmtId="0" fontId="82" fillId="7" borderId="0" xfId="0" applyFont="1" applyFill="1"/>
    <xf numFmtId="0" fontId="44" fillId="9" borderId="17" xfId="0" applyFont="1" applyFill="1" applyBorder="1" applyAlignment="1" applyProtection="1">
      <alignment vertical="center" wrapText="1"/>
      <protection locked="0"/>
    </xf>
    <xf numFmtId="0" fontId="44" fillId="9" borderId="8" xfId="0" applyFont="1" applyFill="1" applyBorder="1" applyAlignment="1" applyProtection="1">
      <alignment vertical="center" wrapText="1"/>
      <protection locked="0"/>
    </xf>
    <xf numFmtId="164" fontId="44" fillId="9" borderId="19" xfId="0" applyNumberFormat="1" applyFont="1" applyFill="1" applyBorder="1" applyAlignment="1" applyProtection="1">
      <alignment horizontal="center" vertical="center" wrapText="1"/>
      <protection locked="0"/>
    </xf>
    <xf numFmtId="164" fontId="44" fillId="7" borderId="0" xfId="0" applyNumberFormat="1" applyFont="1" applyFill="1" applyAlignment="1" applyProtection="1">
      <alignment horizontal="center" wrapText="1"/>
      <protection locked="0"/>
    </xf>
    <xf numFmtId="0" fontId="84" fillId="7" borderId="0" xfId="0" applyFont="1" applyFill="1" applyAlignment="1" applyProtection="1">
      <alignment horizontal="center" wrapText="1"/>
      <protection locked="0"/>
    </xf>
    <xf numFmtId="0" fontId="31" fillId="6" borderId="90" xfId="0" applyFont="1" applyFill="1" applyBorder="1" applyAlignment="1" applyProtection="1">
      <alignment wrapText="1"/>
      <protection locked="0"/>
    </xf>
    <xf numFmtId="166" fontId="31" fillId="6" borderId="89" xfId="2" applyFont="1" applyFill="1" applyBorder="1" applyProtection="1">
      <protection locked="0"/>
    </xf>
    <xf numFmtId="0" fontId="45" fillId="18" borderId="89" xfId="0" applyFont="1" applyFill="1" applyBorder="1" applyAlignment="1" applyProtection="1">
      <alignment horizontal="center" vertical="top" wrapText="1"/>
      <protection locked="0"/>
    </xf>
    <xf numFmtId="0" fontId="45" fillId="18" borderId="91" xfId="0" applyFont="1" applyFill="1" applyBorder="1" applyAlignment="1" applyProtection="1">
      <alignment horizontal="center" vertical="top" wrapText="1"/>
      <protection locked="0"/>
    </xf>
    <xf numFmtId="9" fontId="48" fillId="6" borderId="91" xfId="2" applyNumberFormat="1" applyFont="1" applyFill="1" applyBorder="1" applyProtection="1">
      <protection locked="0"/>
    </xf>
    <xf numFmtId="0" fontId="69" fillId="7" borderId="0" xfId="0" applyFont="1" applyFill="1" applyAlignment="1">
      <alignment horizontal="left"/>
    </xf>
    <xf numFmtId="0" fontId="69" fillId="7" borderId="0" xfId="0" quotePrefix="1" applyFont="1" applyFill="1" applyAlignment="1">
      <alignment horizontal="left"/>
    </xf>
    <xf numFmtId="0" fontId="85" fillId="7" borderId="0" xfId="0" quotePrefix="1" applyFont="1" applyFill="1" applyAlignment="1">
      <alignment horizontal="left"/>
    </xf>
    <xf numFmtId="0" fontId="78" fillId="7" borderId="0" xfId="0" applyFont="1" applyFill="1" applyAlignment="1">
      <alignment horizontal="left" vertical="top" wrapText="1"/>
    </xf>
    <xf numFmtId="171" fontId="0" fillId="7" borderId="0" xfId="0" applyNumberFormat="1" applyFill="1" applyAlignment="1">
      <alignment horizontal="left"/>
    </xf>
    <xf numFmtId="14" fontId="0" fillId="7" borderId="0" xfId="0" applyNumberFormat="1" applyFill="1" applyAlignment="1">
      <alignment horizontal="left"/>
    </xf>
    <xf numFmtId="0" fontId="0" fillId="7" borderId="0" xfId="0" applyFill="1" applyAlignment="1">
      <alignment horizontal="left"/>
    </xf>
    <xf numFmtId="164" fontId="72" fillId="7" borderId="0" xfId="0" applyNumberFormat="1" applyFont="1" applyFill="1"/>
    <xf numFmtId="9" fontId="72" fillId="7" borderId="0" xfId="0" applyNumberFormat="1" applyFont="1" applyFill="1"/>
    <xf numFmtId="0" fontId="86" fillId="7" borderId="0" xfId="0" applyFont="1" applyFill="1" applyAlignment="1">
      <alignment horizontal="left"/>
    </xf>
    <xf numFmtId="164" fontId="87" fillId="7" borderId="0" xfId="0" applyNumberFormat="1" applyFont="1" applyFill="1" applyAlignment="1">
      <alignment horizontal="left" vertical="center"/>
    </xf>
    <xf numFmtId="9" fontId="87" fillId="7" borderId="0" xfId="0" applyNumberFormat="1" applyFont="1" applyFill="1" applyAlignment="1">
      <alignment horizontal="left" vertical="center"/>
    </xf>
    <xf numFmtId="0" fontId="87" fillId="7" borderId="0" xfId="0" applyFont="1" applyFill="1" applyAlignment="1">
      <alignment horizontal="left" vertical="center"/>
    </xf>
    <xf numFmtId="164" fontId="88" fillId="7" borderId="0" xfId="0" applyNumberFormat="1" applyFont="1" applyFill="1" applyAlignment="1">
      <alignment horizontal="left" wrapText="1"/>
    </xf>
    <xf numFmtId="0" fontId="48" fillId="7" borderId="0" xfId="0" applyFont="1" applyFill="1" applyAlignment="1">
      <alignment wrapText="1"/>
    </xf>
    <xf numFmtId="0" fontId="89" fillId="7" borderId="0" xfId="0" applyFont="1" applyFill="1"/>
    <xf numFmtId="9" fontId="90" fillId="7" borderId="0" xfId="0" applyNumberFormat="1" applyFont="1" applyFill="1" applyAlignment="1">
      <alignment wrapText="1"/>
    </xf>
    <xf numFmtId="0" fontId="90" fillId="7" borderId="0" xfId="0" applyFont="1" applyFill="1" applyAlignment="1">
      <alignment wrapText="1"/>
    </xf>
    <xf numFmtId="49" fontId="85" fillId="7" borderId="0" xfId="0" applyNumberFormat="1" applyFont="1" applyFill="1" applyAlignment="1">
      <alignment horizontal="left" vertical="top" wrapText="1"/>
    </xf>
    <xf numFmtId="167" fontId="72" fillId="7" borderId="0" xfId="0" applyNumberFormat="1" applyFont="1" applyFill="1" applyAlignment="1">
      <alignment horizontal="left"/>
    </xf>
    <xf numFmtId="0" fontId="48" fillId="7" borderId="0" xfId="0" applyFont="1" applyFill="1" applyAlignment="1">
      <alignment horizontal="left" vertical="top"/>
    </xf>
    <xf numFmtId="0" fontId="85" fillId="7" borderId="0" xfId="0" applyFont="1" applyFill="1"/>
    <xf numFmtId="0" fontId="48" fillId="7" borderId="0" xfId="0" applyFont="1" applyFill="1"/>
    <xf numFmtId="164" fontId="90" fillId="7" borderId="0" xfId="0" applyNumberFormat="1" applyFont="1" applyFill="1" applyAlignment="1">
      <alignment wrapText="1"/>
    </xf>
    <xf numFmtId="0" fontId="54" fillId="7" borderId="0" xfId="1" applyFont="1" applyFill="1" applyAlignment="1" applyProtection="1">
      <alignment vertical="center" wrapText="1"/>
    </xf>
    <xf numFmtId="0" fontId="54" fillId="0" borderId="9" xfId="1" applyFont="1" applyBorder="1" applyAlignment="1" applyProtection="1">
      <alignment wrapText="1"/>
    </xf>
    <xf numFmtId="0" fontId="53" fillId="5" borderId="56" xfId="0" applyFont="1" applyFill="1" applyBorder="1"/>
    <xf numFmtId="0" fontId="53" fillId="5" borderId="57" xfId="0" applyFont="1" applyFill="1" applyBorder="1"/>
    <xf numFmtId="0" fontId="53" fillId="5" borderId="39" xfId="0" applyFont="1" applyFill="1" applyBorder="1"/>
    <xf numFmtId="0" fontId="53" fillId="5" borderId="40" xfId="0" applyFont="1" applyFill="1" applyBorder="1"/>
    <xf numFmtId="0" fontId="53" fillId="5" borderId="0" xfId="0" applyFont="1" applyFill="1"/>
    <xf numFmtId="0" fontId="53" fillId="5" borderId="43" xfId="0" applyFont="1" applyFill="1" applyBorder="1"/>
    <xf numFmtId="0" fontId="53" fillId="5" borderId="29" xfId="0" applyFont="1" applyFill="1" applyBorder="1"/>
    <xf numFmtId="0" fontId="53" fillId="5" borderId="58" xfId="0" applyFont="1" applyFill="1" applyBorder="1"/>
    <xf numFmtId="0" fontId="53" fillId="5" borderId="44" xfId="0" applyFont="1" applyFill="1" applyBorder="1"/>
    <xf numFmtId="0" fontId="26" fillId="0" borderId="0" xfId="1" applyAlignment="1"/>
    <xf numFmtId="165" fontId="23" fillId="0" borderId="28" xfId="0" applyNumberFormat="1" applyFont="1" applyBorder="1" applyAlignment="1">
      <alignment vertical="center" wrapText="1"/>
    </xf>
    <xf numFmtId="165" fontId="91" fillId="15" borderId="20" xfId="0" applyNumberFormat="1" applyFont="1" applyFill="1" applyBorder="1" applyAlignment="1">
      <alignment vertical="center" wrapText="1"/>
    </xf>
    <xf numFmtId="165" fontId="91" fillId="15" borderId="26" xfId="0" applyNumberFormat="1" applyFont="1" applyFill="1" applyBorder="1" applyAlignment="1">
      <alignment vertical="center" wrapText="1"/>
    </xf>
    <xf numFmtId="166" fontId="92" fillId="5" borderId="2" xfId="2" applyFont="1" applyFill="1" applyBorder="1" applyAlignment="1" applyProtection="1">
      <alignment wrapText="1"/>
      <protection locked="0"/>
    </xf>
    <xf numFmtId="166" fontId="92" fillId="5" borderId="1" xfId="2" applyFont="1" applyFill="1" applyBorder="1" applyAlignment="1" applyProtection="1">
      <alignment horizontal="center" vertical="top" wrapText="1"/>
      <protection locked="0"/>
    </xf>
    <xf numFmtId="49" fontId="93" fillId="5" borderId="1" xfId="0" applyNumberFormat="1" applyFont="1" applyFill="1" applyBorder="1" applyAlignment="1" applyProtection="1">
      <alignment horizontal="center" vertical="top" wrapText="1"/>
      <protection locked="0"/>
    </xf>
    <xf numFmtId="172" fontId="47" fillId="5" borderId="2" xfId="2" applyNumberFormat="1" applyFont="1" applyFill="1" applyBorder="1" applyAlignment="1" applyProtection="1">
      <alignment horizontal="right" wrapText="1"/>
      <protection locked="0"/>
    </xf>
    <xf numFmtId="0" fontId="31" fillId="6" borderId="9" xfId="0" applyFont="1" applyFill="1" applyBorder="1" applyAlignment="1" applyProtection="1">
      <alignment wrapText="1"/>
      <protection locked="0"/>
    </xf>
    <xf numFmtId="49" fontId="4" fillId="6" borderId="14" xfId="0" applyNumberFormat="1" applyFont="1" applyFill="1" applyBorder="1" applyAlignment="1" applyProtection="1">
      <alignment horizontal="center" vertical="top" wrapText="1"/>
      <protection locked="0"/>
    </xf>
    <xf numFmtId="0" fontId="44" fillId="9" borderId="24" xfId="0" applyFont="1" applyFill="1" applyBorder="1" applyAlignment="1" applyProtection="1">
      <alignment wrapText="1"/>
      <protection locked="0"/>
    </xf>
    <xf numFmtId="0" fontId="44" fillId="9" borderId="26" xfId="0" applyFont="1" applyFill="1" applyBorder="1" applyAlignment="1" applyProtection="1">
      <alignment horizontal="center" wrapText="1"/>
      <protection locked="0"/>
    </xf>
    <xf numFmtId="172" fontId="4" fillId="5" borderId="2" xfId="0" applyNumberFormat="1" applyFont="1" applyFill="1" applyBorder="1" applyAlignment="1" applyProtection="1">
      <alignment horizontal="right" wrapText="1"/>
      <protection locked="0"/>
    </xf>
    <xf numFmtId="49" fontId="93" fillId="5" borderId="2" xfId="0" applyNumberFormat="1" applyFont="1" applyFill="1" applyBorder="1" applyAlignment="1" applyProtection="1">
      <alignment horizontal="center" vertical="top" wrapText="1"/>
      <protection locked="0"/>
    </xf>
    <xf numFmtId="166" fontId="47" fillId="10" borderId="94" xfId="2" applyFont="1" applyFill="1" applyBorder="1" applyAlignment="1" applyProtection="1">
      <alignment wrapText="1"/>
      <protection locked="0"/>
    </xf>
    <xf numFmtId="166" fontId="47" fillId="10" borderId="19" xfId="2" applyFont="1" applyFill="1" applyBorder="1" applyAlignment="1" applyProtection="1">
      <alignment wrapText="1"/>
      <protection locked="0"/>
    </xf>
    <xf numFmtId="49" fontId="4" fillId="2" borderId="19" xfId="0" applyNumberFormat="1" applyFont="1" applyFill="1" applyBorder="1" applyAlignment="1" applyProtection="1">
      <alignment horizontal="center" vertical="top" wrapText="1"/>
      <protection locked="0"/>
    </xf>
    <xf numFmtId="0" fontId="44" fillId="9" borderId="92" xfId="0" applyFont="1" applyFill="1" applyBorder="1" applyAlignment="1" applyProtection="1">
      <alignment horizontal="center" vertical="top" wrapText="1"/>
      <protection locked="0"/>
    </xf>
    <xf numFmtId="0" fontId="44" fillId="9" borderId="93" xfId="0" applyFont="1" applyFill="1" applyBorder="1" applyAlignment="1" applyProtection="1">
      <alignment horizontal="center" vertical="top" wrapText="1"/>
      <protection locked="0"/>
    </xf>
    <xf numFmtId="0" fontId="44" fillId="9" borderId="26" xfId="0" applyFont="1" applyFill="1" applyBorder="1" applyAlignment="1" applyProtection="1">
      <alignment horizontal="center" vertical="top" wrapText="1"/>
      <protection locked="0"/>
    </xf>
    <xf numFmtId="0" fontId="31" fillId="0" borderId="0" xfId="0" applyFont="1" applyAlignment="1">
      <alignment wrapText="1"/>
    </xf>
    <xf numFmtId="166" fontId="31" fillId="0" borderId="0" xfId="2" applyFont="1" applyFill="1" applyBorder="1" applyProtection="1">
      <protection locked="0"/>
    </xf>
    <xf numFmtId="0" fontId="45" fillId="0" borderId="0" xfId="0" applyFont="1" applyAlignment="1" applyProtection="1">
      <alignment horizontal="left" vertical="center" wrapText="1"/>
      <protection locked="0"/>
    </xf>
    <xf numFmtId="0" fontId="31" fillId="6" borderId="95" xfId="0" applyFont="1" applyFill="1" applyBorder="1" applyAlignment="1">
      <alignment wrapText="1"/>
    </xf>
    <xf numFmtId="0" fontId="45" fillId="6" borderId="96" xfId="0" applyFont="1" applyFill="1" applyBorder="1" applyAlignment="1" applyProtection="1">
      <alignment horizontal="left" vertical="center" wrapText="1"/>
      <protection locked="0"/>
    </xf>
    <xf numFmtId="0" fontId="44" fillId="9" borderId="25" xfId="0" applyFont="1" applyFill="1" applyBorder="1" applyAlignment="1" applyProtection="1">
      <alignment wrapText="1"/>
      <protection locked="0"/>
    </xf>
    <xf numFmtId="166" fontId="31" fillId="5" borderId="2" xfId="2" applyFont="1" applyFill="1" applyBorder="1" applyAlignment="1" applyProtection="1">
      <alignment wrapText="1"/>
      <protection locked="0"/>
    </xf>
    <xf numFmtId="0" fontId="71" fillId="10" borderId="76" xfId="0" applyFont="1" applyFill="1" applyBorder="1" applyAlignment="1">
      <alignment wrapText="1"/>
    </xf>
    <xf numFmtId="0" fontId="71" fillId="10" borderId="76" xfId="0" applyFont="1" applyFill="1" applyBorder="1"/>
    <xf numFmtId="0" fontId="71" fillId="10" borderId="0" xfId="0" applyFont="1" applyFill="1" applyAlignment="1">
      <alignment horizontal="left"/>
    </xf>
    <xf numFmtId="49" fontId="4" fillId="2" borderId="2" xfId="0" applyNumberFormat="1" applyFont="1" applyFill="1" applyBorder="1" applyAlignment="1" applyProtection="1">
      <alignment horizontal="left" vertical="top" wrapText="1"/>
      <protection locked="0"/>
    </xf>
    <xf numFmtId="0" fontId="4" fillId="2" borderId="1" xfId="0" applyFont="1" applyFill="1" applyBorder="1" applyAlignment="1" applyProtection="1">
      <alignment horizontal="left" vertical="top" wrapText="1"/>
      <protection locked="0"/>
    </xf>
    <xf numFmtId="49" fontId="4" fillId="2" borderId="1" xfId="0" applyNumberFormat="1" applyFont="1" applyFill="1" applyBorder="1" applyAlignment="1" applyProtection="1">
      <alignment horizontal="left" vertical="top" wrapText="1"/>
      <protection locked="0"/>
    </xf>
    <xf numFmtId="49" fontId="0" fillId="2" borderId="2" xfId="0" applyNumberFormat="1" applyFill="1" applyBorder="1" applyAlignment="1" applyProtection="1">
      <alignment horizontal="left" wrapText="1"/>
      <protection locked="0"/>
    </xf>
    <xf numFmtId="0" fontId="4" fillId="2" borderId="10" xfId="0" applyFont="1" applyFill="1" applyBorder="1" applyAlignment="1" applyProtection="1">
      <alignment horizontal="left" vertical="top" wrapText="1"/>
      <protection locked="0"/>
    </xf>
    <xf numFmtId="0" fontId="7" fillId="2" borderId="6" xfId="0" applyFont="1" applyFill="1" applyBorder="1" applyAlignment="1" applyProtection="1">
      <alignment horizontal="left" wrapText="1"/>
      <protection locked="0"/>
    </xf>
    <xf numFmtId="49" fontId="93" fillId="5" borderId="2" xfId="0" applyNumberFormat="1" applyFont="1" applyFill="1" applyBorder="1" applyAlignment="1" applyProtection="1">
      <alignment horizontal="left" vertical="top" wrapText="1"/>
      <protection locked="0"/>
    </xf>
    <xf numFmtId="49" fontId="93" fillId="5" borderId="1" xfId="0" applyNumberFormat="1" applyFont="1" applyFill="1" applyBorder="1" applyAlignment="1" applyProtection="1">
      <alignment horizontal="left" vertical="top" wrapText="1"/>
      <protection locked="0"/>
    </xf>
    <xf numFmtId="49" fontId="0" fillId="2" borderId="2" xfId="0" applyNumberFormat="1" applyFill="1" applyBorder="1" applyAlignment="1" applyProtection="1">
      <alignment horizontal="left" vertical="top" wrapText="1"/>
      <protection locked="0"/>
    </xf>
    <xf numFmtId="49" fontId="47" fillId="10" borderId="2" xfId="2" applyNumberFormat="1" applyFont="1" applyFill="1" applyBorder="1" applyAlignment="1" applyProtection="1">
      <alignment horizontal="left" vertical="top" wrapText="1"/>
      <protection locked="0"/>
    </xf>
    <xf numFmtId="0" fontId="55" fillId="19" borderId="20" xfId="0" applyFont="1" applyFill="1" applyBorder="1" applyAlignment="1">
      <alignment vertical="top" wrapText="1"/>
    </xf>
    <xf numFmtId="0" fontId="55" fillId="10" borderId="28" xfId="0" applyFont="1" applyFill="1" applyBorder="1" applyAlignment="1">
      <alignment vertical="top" wrapText="1"/>
    </xf>
    <xf numFmtId="0" fontId="94" fillId="6" borderId="0" xfId="1" applyFont="1" applyFill="1" applyBorder="1" applyAlignment="1" applyProtection="1">
      <alignment horizontal="left" wrapText="1"/>
      <protection locked="0"/>
    </xf>
    <xf numFmtId="49" fontId="4" fillId="2" borderId="2" xfId="0" applyNumberFormat="1" applyFont="1" applyFill="1" applyBorder="1" applyAlignment="1" applyProtection="1">
      <alignment horizontal="center" vertical="top" wrapText="1"/>
      <protection locked="0"/>
    </xf>
    <xf numFmtId="49" fontId="4" fillId="2" borderId="1" xfId="0" applyNumberFormat="1" applyFont="1" applyFill="1" applyBorder="1" applyAlignment="1" applyProtection="1">
      <alignment horizontal="center" vertical="top" wrapText="1"/>
      <protection locked="0"/>
    </xf>
    <xf numFmtId="49" fontId="47" fillId="7" borderId="0" xfId="0" applyNumberFormat="1" applyFont="1" applyFill="1" applyAlignment="1" applyProtection="1">
      <alignment horizontal="left" vertical="top" wrapText="1"/>
      <protection locked="0"/>
    </xf>
    <xf numFmtId="0" fontId="47" fillId="7" borderId="0" xfId="0" applyFont="1" applyFill="1" applyAlignment="1">
      <alignment horizontal="left"/>
    </xf>
    <xf numFmtId="0" fontId="0" fillId="11" borderId="0" xfId="0" applyFill="1" applyAlignment="1">
      <alignment horizontal="left" vertical="center"/>
    </xf>
    <xf numFmtId="0" fontId="17" fillId="7" borderId="0" xfId="0" applyFont="1" applyFill="1" applyAlignment="1">
      <alignment horizontal="center" vertical="center"/>
    </xf>
    <xf numFmtId="166" fontId="9" fillId="7" borderId="3" xfId="2" applyFont="1" applyFill="1" applyBorder="1" applyAlignment="1">
      <alignment horizontal="center"/>
    </xf>
    <xf numFmtId="0" fontId="14" fillId="9" borderId="39" xfId="0" applyFont="1" applyFill="1" applyBorder="1" applyAlignment="1">
      <alignment horizontal="center" vertical="center" wrapText="1"/>
    </xf>
    <xf numFmtId="0" fontId="44" fillId="9" borderId="17" xfId="0" applyFont="1" applyFill="1" applyBorder="1" applyAlignment="1">
      <alignment horizontal="left" wrapText="1"/>
    </xf>
    <xf numFmtId="0" fontId="44" fillId="9" borderId="0" xfId="0" applyFont="1" applyFill="1" applyAlignment="1">
      <alignment horizontal="left" wrapText="1"/>
    </xf>
    <xf numFmtId="0" fontId="42" fillId="9" borderId="0" xfId="0" applyFont="1" applyFill="1" applyAlignment="1">
      <alignment horizontal="left" vertical="top" wrapText="1"/>
    </xf>
    <xf numFmtId="0" fontId="0" fillId="11" borderId="0" xfId="0" applyFill="1" applyAlignment="1">
      <alignment horizontal="center" vertical="center"/>
    </xf>
    <xf numFmtId="0" fontId="44" fillId="9" borderId="17" xfId="0" applyFont="1" applyFill="1" applyBorder="1" applyAlignment="1">
      <alignment horizontal="center" wrapText="1"/>
    </xf>
    <xf numFmtId="0" fontId="44" fillId="9" borderId="0" xfId="0" applyFont="1" applyFill="1" applyAlignment="1">
      <alignment horizontal="center" wrapText="1"/>
    </xf>
    <xf numFmtId="49" fontId="6" fillId="0" borderId="75" xfId="0" applyNumberFormat="1" applyFont="1" applyBorder="1" applyAlignment="1" applyProtection="1">
      <alignment horizontal="left" vertical="top" wrapText="1"/>
      <protection locked="0"/>
    </xf>
    <xf numFmtId="49" fontId="6" fillId="0" borderId="81" xfId="0" applyNumberFormat="1" applyFont="1" applyBorder="1" applyAlignment="1" applyProtection="1">
      <alignment horizontal="left" vertical="top" wrapText="1"/>
      <protection locked="0"/>
    </xf>
    <xf numFmtId="49" fontId="6" fillId="0" borderId="21" xfId="0" applyNumberFormat="1" applyFont="1" applyBorder="1" applyAlignment="1" applyProtection="1">
      <alignment horizontal="left" vertical="top" wrapText="1"/>
      <protection locked="0"/>
    </xf>
    <xf numFmtId="0" fontId="44" fillId="9" borderId="17" xfId="0" applyFont="1" applyFill="1" applyBorder="1" applyAlignment="1" applyProtection="1">
      <alignment horizontal="left" wrapText="1"/>
      <protection locked="0"/>
    </xf>
    <xf numFmtId="0" fontId="44" fillId="9" borderId="0" xfId="0" applyFont="1" applyFill="1" applyAlignment="1" applyProtection="1">
      <alignment horizontal="left" wrapText="1"/>
      <protection locked="0"/>
    </xf>
    <xf numFmtId="167" fontId="6" fillId="0" borderId="75" xfId="0" applyNumberFormat="1" applyFont="1" applyBorder="1" applyAlignment="1" applyProtection="1">
      <alignment horizontal="left" vertical="top" wrapText="1"/>
      <protection locked="0"/>
    </xf>
    <xf numFmtId="167" fontId="6" fillId="0" borderId="81" xfId="0" applyNumberFormat="1" applyFont="1" applyBorder="1" applyAlignment="1" applyProtection="1">
      <alignment horizontal="left" vertical="top" wrapText="1"/>
      <protection locked="0"/>
    </xf>
    <xf numFmtId="166" fontId="6" fillId="17" borderId="75" xfId="2" applyFont="1" applyFill="1" applyBorder="1" applyAlignment="1" applyProtection="1">
      <alignment horizontal="left" wrapText="1"/>
      <protection locked="0"/>
    </xf>
    <xf numFmtId="166" fontId="6" fillId="17" borderId="21" xfId="2" applyFont="1" applyFill="1" applyBorder="1" applyAlignment="1" applyProtection="1">
      <alignment horizontal="left" wrapText="1"/>
      <protection locked="0"/>
    </xf>
    <xf numFmtId="164" fontId="44" fillId="9" borderId="77" xfId="0" applyNumberFormat="1" applyFont="1" applyFill="1" applyBorder="1" applyAlignment="1" applyProtection="1">
      <alignment horizontal="center" vertical="center" wrapText="1"/>
      <protection locked="0"/>
    </xf>
    <xf numFmtId="164" fontId="44" fillId="9" borderId="76" xfId="0" applyNumberFormat="1" applyFont="1" applyFill="1" applyBorder="1" applyAlignment="1" applyProtection="1">
      <alignment horizontal="center" vertical="center" wrapText="1"/>
      <protection locked="0"/>
    </xf>
    <xf numFmtId="49" fontId="6" fillId="0" borderId="79" xfId="0" applyNumberFormat="1" applyFont="1" applyBorder="1" applyAlignment="1" applyProtection="1">
      <alignment horizontal="left" wrapText="1"/>
      <protection locked="0"/>
    </xf>
    <xf numFmtId="49" fontId="6" fillId="0" borderId="0" xfId="0" applyNumberFormat="1" applyFont="1" applyAlignment="1" applyProtection="1">
      <alignment horizontal="left" wrapText="1"/>
      <protection locked="0"/>
    </xf>
    <xf numFmtId="49" fontId="6" fillId="0" borderId="80" xfId="0" applyNumberFormat="1" applyFont="1" applyBorder="1" applyAlignment="1" applyProtection="1">
      <alignment horizontal="left" wrapText="1"/>
      <protection locked="0"/>
    </xf>
    <xf numFmtId="49" fontId="6" fillId="0" borderId="79" xfId="0" applyNumberFormat="1" applyFont="1" applyBorder="1" applyAlignment="1" applyProtection="1">
      <alignment horizontal="left" vertical="top" wrapText="1"/>
      <protection locked="0"/>
    </xf>
    <xf numFmtId="49" fontId="6" fillId="0" borderId="0" xfId="0" applyNumberFormat="1" applyFont="1" applyAlignment="1" applyProtection="1">
      <alignment horizontal="left" vertical="top" wrapText="1"/>
      <protection locked="0"/>
    </xf>
    <xf numFmtId="49" fontId="6" fillId="0" borderId="80" xfId="0" applyNumberFormat="1" applyFont="1" applyBorder="1" applyAlignment="1" applyProtection="1">
      <alignment horizontal="left" vertical="top" wrapText="1"/>
      <protection locked="0"/>
    </xf>
    <xf numFmtId="167" fontId="6" fillId="0" borderId="79" xfId="0" applyNumberFormat="1" applyFont="1" applyBorder="1" applyAlignment="1" applyProtection="1">
      <alignment horizontal="left" wrapText="1"/>
      <protection locked="0"/>
    </xf>
    <xf numFmtId="167" fontId="6" fillId="0" borderId="0" xfId="0" applyNumberFormat="1" applyFont="1" applyAlignment="1" applyProtection="1">
      <alignment horizontal="left" wrapText="1"/>
      <protection locked="0"/>
    </xf>
    <xf numFmtId="166" fontId="6" fillId="17" borderId="77" xfId="2" applyFont="1" applyFill="1" applyBorder="1" applyAlignment="1" applyProtection="1">
      <alignment horizontal="left" wrapText="1"/>
      <protection locked="0"/>
    </xf>
    <xf numFmtId="166" fontId="6" fillId="17" borderId="78" xfId="2" applyFont="1" applyFill="1" applyBorder="1" applyAlignment="1" applyProtection="1">
      <alignment horizontal="left" wrapText="1"/>
      <protection locked="0"/>
    </xf>
    <xf numFmtId="167" fontId="6" fillId="0" borderId="79" xfId="0" applyNumberFormat="1" applyFont="1" applyBorder="1" applyAlignment="1" applyProtection="1">
      <alignment horizontal="left" vertical="top" wrapText="1"/>
      <protection locked="0"/>
    </xf>
    <xf numFmtId="167" fontId="6" fillId="0" borderId="0" xfId="0" applyNumberFormat="1" applyFont="1" applyAlignment="1" applyProtection="1">
      <alignment horizontal="left" vertical="top" wrapText="1"/>
      <protection locked="0"/>
    </xf>
    <xf numFmtId="166" fontId="6" fillId="17" borderId="79" xfId="2" applyFont="1" applyFill="1" applyBorder="1" applyAlignment="1" applyProtection="1">
      <alignment horizontal="left" wrapText="1"/>
      <protection locked="0"/>
    </xf>
    <xf numFmtId="166" fontId="6" fillId="17" borderId="80" xfId="2" applyFont="1" applyFill="1" applyBorder="1" applyAlignment="1" applyProtection="1">
      <alignment horizontal="left" wrapText="1"/>
      <protection locked="0"/>
    </xf>
    <xf numFmtId="171" fontId="6" fillId="0" borderId="79" xfId="0" applyNumberFormat="1" applyFont="1" applyBorder="1" applyAlignment="1" applyProtection="1">
      <alignment horizontal="center" vertical="top" wrapText="1"/>
      <protection locked="0"/>
    </xf>
    <xf numFmtId="171" fontId="6" fillId="0" borderId="0" xfId="0" applyNumberFormat="1" applyFont="1" applyAlignment="1" applyProtection="1">
      <alignment horizontal="center" vertical="top" wrapText="1"/>
      <protection locked="0"/>
    </xf>
    <xf numFmtId="167" fontId="6" fillId="17" borderId="79" xfId="0" applyNumberFormat="1" applyFont="1" applyFill="1" applyBorder="1" applyAlignment="1" applyProtection="1">
      <alignment horizontal="left" vertical="top" wrapText="1"/>
      <protection locked="0"/>
    </xf>
    <xf numFmtId="167" fontId="6" fillId="17" borderId="80" xfId="0" applyNumberFormat="1" applyFont="1" applyFill="1" applyBorder="1" applyAlignment="1" applyProtection="1">
      <alignment horizontal="left" vertical="top" wrapText="1"/>
      <protection locked="0"/>
    </xf>
    <xf numFmtId="171" fontId="6" fillId="0" borderId="75" xfId="0" applyNumberFormat="1" applyFont="1" applyBorder="1" applyAlignment="1" applyProtection="1">
      <alignment horizontal="center" vertical="top" wrapText="1"/>
      <protection locked="0"/>
    </xf>
    <xf numFmtId="171" fontId="6" fillId="0" borderId="81" xfId="0" applyNumberFormat="1" applyFont="1" applyBorder="1" applyAlignment="1" applyProtection="1">
      <alignment horizontal="center" vertical="top" wrapText="1"/>
      <protection locked="0"/>
    </xf>
    <xf numFmtId="167" fontId="6" fillId="17" borderId="75" xfId="0" applyNumberFormat="1" applyFont="1" applyFill="1" applyBorder="1" applyAlignment="1" applyProtection="1">
      <alignment horizontal="left" vertical="top" wrapText="1"/>
      <protection locked="0"/>
    </xf>
    <xf numFmtId="167" fontId="6" fillId="17" borderId="21" xfId="0" applyNumberFormat="1" applyFont="1" applyFill="1" applyBorder="1" applyAlignment="1" applyProtection="1">
      <alignment horizontal="left" vertical="top" wrapText="1"/>
      <protection locked="0"/>
    </xf>
    <xf numFmtId="164" fontId="44" fillId="9" borderId="78" xfId="0" applyNumberFormat="1" applyFont="1" applyFill="1" applyBorder="1" applyAlignment="1" applyProtection="1">
      <alignment horizontal="center" vertical="center" wrapText="1"/>
      <protection locked="0"/>
    </xf>
    <xf numFmtId="164" fontId="44" fillId="9" borderId="25" xfId="0" applyNumberFormat="1" applyFont="1" applyFill="1" applyBorder="1" applyAlignment="1" applyProtection="1">
      <alignment horizontal="center" vertical="center" wrapText="1"/>
      <protection locked="0"/>
    </xf>
    <xf numFmtId="164" fontId="44" fillId="9" borderId="26" xfId="0" applyNumberFormat="1" applyFont="1" applyFill="1" applyBorder="1" applyAlignment="1" applyProtection="1">
      <alignment horizontal="center" vertical="center" wrapText="1"/>
      <protection locked="0"/>
    </xf>
    <xf numFmtId="171" fontId="6" fillId="0" borderId="77" xfId="0" applyNumberFormat="1" applyFont="1" applyBorder="1" applyAlignment="1" applyProtection="1">
      <alignment horizontal="center" wrapText="1"/>
      <protection locked="0"/>
    </xf>
    <xf numFmtId="171" fontId="6" fillId="0" borderId="76" xfId="0" applyNumberFormat="1" applyFont="1" applyBorder="1" applyAlignment="1" applyProtection="1">
      <alignment horizontal="center" wrapText="1"/>
      <protection locked="0"/>
    </xf>
    <xf numFmtId="167" fontId="6" fillId="17" borderId="77" xfId="0" applyNumberFormat="1" applyFont="1" applyFill="1" applyBorder="1" applyAlignment="1" applyProtection="1">
      <alignment horizontal="left" wrapText="1"/>
      <protection locked="0"/>
    </xf>
    <xf numFmtId="167" fontId="6" fillId="17" borderId="78" xfId="0" applyNumberFormat="1" applyFont="1" applyFill="1" applyBorder="1" applyAlignment="1" applyProtection="1">
      <alignment horizontal="left" wrapText="1"/>
      <protection locked="0"/>
    </xf>
    <xf numFmtId="0" fontId="31" fillId="14" borderId="63" xfId="0" applyFont="1" applyFill="1" applyBorder="1" applyAlignment="1" applyProtection="1">
      <alignment horizontal="left" vertical="center" wrapText="1"/>
      <protection locked="0"/>
    </xf>
    <xf numFmtId="0" fontId="31" fillId="14" borderId="64" xfId="0" applyFont="1" applyFill="1" applyBorder="1" applyAlignment="1" applyProtection="1">
      <alignment horizontal="left" vertical="center" wrapText="1"/>
      <protection locked="0"/>
    </xf>
    <xf numFmtId="0" fontId="31" fillId="6" borderId="63" xfId="0" applyFont="1" applyFill="1" applyBorder="1" applyAlignment="1" applyProtection="1">
      <alignment horizontal="left" vertical="center" wrapText="1"/>
      <protection locked="0"/>
    </xf>
    <xf numFmtId="0" fontId="31" fillId="6" borderId="64" xfId="0" applyFont="1" applyFill="1" applyBorder="1" applyAlignment="1" applyProtection="1">
      <alignment horizontal="left" vertical="center" wrapText="1"/>
      <protection locked="0"/>
    </xf>
    <xf numFmtId="49" fontId="4" fillId="2" borderId="83" xfId="0" applyNumberFormat="1" applyFont="1" applyFill="1" applyBorder="1" applyAlignment="1" applyProtection="1">
      <alignment horizontal="center" vertical="top" wrapText="1"/>
      <protection locked="0"/>
    </xf>
    <xf numFmtId="49" fontId="4" fillId="2" borderId="1" xfId="0" applyNumberFormat="1" applyFont="1" applyFill="1" applyBorder="1" applyAlignment="1" applyProtection="1">
      <alignment horizontal="center" vertical="top" wrapText="1"/>
      <protection locked="0"/>
    </xf>
    <xf numFmtId="0" fontId="4" fillId="2" borderId="83" xfId="0" applyFont="1" applyFill="1" applyBorder="1" applyAlignment="1" applyProtection="1">
      <alignment horizontal="center" vertical="top" wrapText="1"/>
      <protection locked="0"/>
    </xf>
    <xf numFmtId="0" fontId="4" fillId="2" borderId="1" xfId="0" applyFont="1" applyFill="1" applyBorder="1" applyAlignment="1" applyProtection="1">
      <alignment horizontal="center" vertical="top" wrapText="1"/>
      <protection locked="0"/>
    </xf>
    <xf numFmtId="49" fontId="0" fillId="2" borderId="83" xfId="0" applyNumberFormat="1" applyFill="1" applyBorder="1" applyAlignment="1" applyProtection="1">
      <alignment horizontal="center" wrapText="1"/>
      <protection locked="0"/>
    </xf>
    <xf numFmtId="49" fontId="0" fillId="2" borderId="1" xfId="0" applyNumberFormat="1" applyFill="1" applyBorder="1" applyAlignment="1" applyProtection="1">
      <alignment horizontal="center" wrapText="1"/>
      <protection locked="0"/>
    </xf>
    <xf numFmtId="49" fontId="47" fillId="10" borderId="83" xfId="2" applyNumberFormat="1" applyFont="1" applyFill="1" applyBorder="1" applyAlignment="1" applyProtection="1">
      <alignment horizontal="center" wrapText="1"/>
      <protection locked="0"/>
    </xf>
    <xf numFmtId="49" fontId="47" fillId="10" borderId="1" xfId="2" applyNumberFormat="1" applyFont="1" applyFill="1" applyBorder="1" applyAlignment="1" applyProtection="1">
      <alignment horizontal="center" wrapText="1"/>
      <protection locked="0"/>
    </xf>
    <xf numFmtId="0" fontId="45" fillId="6" borderId="83" xfId="0" applyFont="1" applyFill="1" applyBorder="1" applyAlignment="1" applyProtection="1">
      <alignment horizontal="center" vertical="top" wrapText="1"/>
      <protection locked="0"/>
    </xf>
    <xf numFmtId="0" fontId="45" fillId="6" borderId="1" xfId="0" applyFont="1" applyFill="1" applyBorder="1" applyAlignment="1" applyProtection="1">
      <alignment horizontal="center" vertical="top" wrapText="1"/>
      <protection locked="0"/>
    </xf>
    <xf numFmtId="0" fontId="45" fillId="6" borderId="83" xfId="0" applyFont="1" applyFill="1" applyBorder="1" applyAlignment="1" applyProtection="1">
      <alignment horizontal="center" vertical="center" wrapText="1"/>
      <protection locked="0"/>
    </xf>
    <xf numFmtId="0" fontId="45" fillId="6" borderId="1" xfId="0" applyFont="1" applyFill="1" applyBorder="1" applyAlignment="1" applyProtection="1">
      <alignment horizontal="center" vertical="center" wrapText="1"/>
      <protection locked="0"/>
    </xf>
    <xf numFmtId="0" fontId="64" fillId="6" borderId="31" xfId="1" applyFont="1" applyFill="1" applyBorder="1" applyAlignment="1" applyProtection="1">
      <alignment horizontal="center" vertical="center" wrapText="1"/>
      <protection locked="0"/>
    </xf>
    <xf numFmtId="0" fontId="64" fillId="6" borderId="33" xfId="1" applyFont="1" applyFill="1" applyBorder="1" applyAlignment="1" applyProtection="1">
      <alignment horizontal="center" vertical="center" wrapText="1"/>
      <protection locked="0"/>
    </xf>
    <xf numFmtId="0" fontId="64" fillId="6" borderId="34" xfId="1" applyFont="1" applyFill="1" applyBorder="1" applyAlignment="1" applyProtection="1">
      <alignment horizontal="center" vertical="center" wrapText="1"/>
      <protection locked="0"/>
    </xf>
    <xf numFmtId="0" fontId="4" fillId="2" borderId="84" xfId="0" applyFont="1" applyFill="1" applyBorder="1" applyAlignment="1" applyProtection="1">
      <alignment horizontal="center" vertical="top" wrapText="1"/>
      <protection locked="0"/>
    </xf>
    <xf numFmtId="0" fontId="46" fillId="6" borderId="83" xfId="0" applyFont="1" applyFill="1" applyBorder="1" applyAlignment="1" applyProtection="1">
      <alignment horizontal="center" vertical="top" wrapText="1"/>
      <protection locked="0"/>
    </xf>
    <xf numFmtId="0" fontId="46" fillId="6" borderId="84" xfId="0" applyFont="1" applyFill="1" applyBorder="1" applyAlignment="1" applyProtection="1">
      <alignment horizontal="center" vertical="top" wrapText="1"/>
      <protection locked="0"/>
    </xf>
    <xf numFmtId="0" fontId="44" fillId="9" borderId="17" xfId="0" applyFont="1" applyFill="1" applyBorder="1" applyAlignment="1" applyProtection="1">
      <alignment horizontal="center" wrapText="1"/>
      <protection locked="0"/>
    </xf>
    <xf numFmtId="0" fontId="44" fillId="9" borderId="0" xfId="0" applyFont="1" applyFill="1" applyAlignment="1" applyProtection="1">
      <alignment horizontal="center" wrapText="1"/>
      <protection locked="0"/>
    </xf>
    <xf numFmtId="49" fontId="0" fillId="2" borderId="82" xfId="0" applyNumberFormat="1" applyFill="1" applyBorder="1" applyAlignment="1" applyProtection="1">
      <alignment horizontal="center" wrapText="1"/>
      <protection locked="0"/>
    </xf>
    <xf numFmtId="49" fontId="0" fillId="2" borderId="10" xfId="0" applyNumberFormat="1" applyFill="1" applyBorder="1" applyAlignment="1" applyProtection="1">
      <alignment horizontal="center" wrapText="1"/>
      <protection locked="0"/>
    </xf>
    <xf numFmtId="49" fontId="0" fillId="2" borderId="84" xfId="0" applyNumberFormat="1" applyFill="1" applyBorder="1" applyAlignment="1" applyProtection="1">
      <alignment horizontal="center" wrapText="1"/>
      <protection locked="0"/>
    </xf>
    <xf numFmtId="0" fontId="45" fillId="6" borderId="85" xfId="0" applyFont="1" applyFill="1" applyBorder="1" applyAlignment="1" applyProtection="1">
      <alignment horizontal="center" vertical="top" wrapText="1"/>
      <protection locked="0"/>
    </xf>
    <xf numFmtId="0" fontId="45" fillId="6" borderId="86" xfId="0" applyFont="1" applyFill="1" applyBorder="1" applyAlignment="1" applyProtection="1">
      <alignment horizontal="center" vertical="top" wrapText="1"/>
      <protection locked="0"/>
    </xf>
    <xf numFmtId="0" fontId="44" fillId="9" borderId="62" xfId="0" applyFont="1" applyFill="1" applyBorder="1" applyAlignment="1" applyProtection="1">
      <alignment horizontal="center" wrapText="1"/>
      <protection locked="0"/>
    </xf>
    <xf numFmtId="0" fontId="44" fillId="9" borderId="8" xfId="0" applyFont="1" applyFill="1" applyBorder="1" applyAlignment="1" applyProtection="1">
      <alignment horizontal="center" wrapText="1"/>
      <protection locked="0"/>
    </xf>
    <xf numFmtId="49" fontId="4" fillId="2" borderId="82" xfId="0" applyNumberFormat="1" applyFont="1" applyFill="1" applyBorder="1" applyAlignment="1" applyProtection="1">
      <alignment horizontal="center" vertical="top" wrapText="1"/>
      <protection locked="0"/>
    </xf>
    <xf numFmtId="49" fontId="4" fillId="2" borderId="2" xfId="0" applyNumberFormat="1" applyFont="1" applyFill="1" applyBorder="1" applyAlignment="1" applyProtection="1">
      <alignment horizontal="center" vertical="top" wrapText="1"/>
      <protection locked="0"/>
    </xf>
    <xf numFmtId="0" fontId="4" fillId="2" borderId="82" xfId="0" applyFont="1" applyFill="1" applyBorder="1" applyAlignment="1" applyProtection="1">
      <alignment horizontal="center" vertical="top" wrapText="1"/>
      <protection locked="0"/>
    </xf>
    <xf numFmtId="0" fontId="4" fillId="2" borderId="10" xfId="0" applyFont="1" applyFill="1" applyBorder="1" applyAlignment="1" applyProtection="1">
      <alignment horizontal="center" vertical="top" wrapText="1"/>
      <protection locked="0"/>
    </xf>
    <xf numFmtId="0" fontId="0" fillId="11" borderId="0" xfId="0" applyFill="1" applyAlignment="1" applyProtection="1">
      <alignment horizontal="left" vertical="center"/>
      <protection locked="0"/>
    </xf>
    <xf numFmtId="0" fontId="44" fillId="9" borderId="4" xfId="0" applyFont="1" applyFill="1" applyBorder="1" applyAlignment="1" applyProtection="1">
      <alignment horizontal="center" vertical="top" wrapText="1"/>
      <protection locked="0"/>
    </xf>
    <xf numFmtId="0" fontId="44" fillId="9" borderId="0" xfId="0" applyFont="1" applyFill="1" applyAlignment="1" applyProtection="1">
      <alignment horizontal="center" vertical="top" wrapText="1"/>
      <protection locked="0"/>
    </xf>
    <xf numFmtId="0" fontId="7" fillId="2" borderId="4" xfId="0" applyFont="1" applyFill="1" applyBorder="1" applyAlignment="1" applyProtection="1">
      <alignment horizontal="center" wrapText="1"/>
      <protection locked="0"/>
    </xf>
    <xf numFmtId="0" fontId="7" fillId="2" borderId="0" xfId="0" applyFont="1" applyFill="1" applyAlignment="1" applyProtection="1">
      <alignment horizontal="center" wrapText="1"/>
      <protection locked="0"/>
    </xf>
    <xf numFmtId="0" fontId="44" fillId="9" borderId="24" xfId="0" applyFont="1" applyFill="1" applyBorder="1" applyAlignment="1" applyProtection="1">
      <alignment horizontal="left" wrapText="1"/>
      <protection locked="0"/>
    </xf>
    <xf numFmtId="0" fontId="44" fillId="9" borderId="25" xfId="0" applyFont="1" applyFill="1" applyBorder="1" applyAlignment="1" applyProtection="1">
      <alignment horizontal="left" wrapText="1"/>
      <protection locked="0"/>
    </xf>
    <xf numFmtId="0" fontId="44" fillId="9" borderId="26" xfId="0" applyFont="1" applyFill="1" applyBorder="1" applyAlignment="1" applyProtection="1">
      <alignment horizontal="left" wrapText="1"/>
      <protection locked="0"/>
    </xf>
    <xf numFmtId="0" fontId="44" fillId="9" borderId="25" xfId="0" applyFont="1" applyFill="1" applyBorder="1" applyAlignment="1" applyProtection="1">
      <alignment horizontal="center" wrapText="1"/>
      <protection locked="0"/>
    </xf>
    <xf numFmtId="49" fontId="47" fillId="7" borderId="0" xfId="0" applyNumberFormat="1" applyFont="1" applyFill="1" applyAlignment="1" applyProtection="1">
      <alignment horizontal="left" vertical="top" wrapText="1"/>
      <protection locked="0"/>
    </xf>
    <xf numFmtId="0" fontId="55" fillId="7" borderId="0" xfId="0" applyFont="1" applyFill="1" applyAlignment="1" applyProtection="1">
      <alignment horizontal="left" vertical="top" wrapText="1"/>
      <protection locked="0"/>
    </xf>
    <xf numFmtId="0" fontId="69" fillId="7" borderId="0" xfId="0" quotePrefix="1" applyFont="1" applyFill="1" applyAlignment="1">
      <alignment horizontal="left" wrapText="1"/>
    </xf>
    <xf numFmtId="49" fontId="38" fillId="11" borderId="0" xfId="0" applyNumberFormat="1" applyFont="1" applyFill="1" applyAlignment="1" applyProtection="1">
      <alignment horizontal="left" vertical="center"/>
      <protection locked="0"/>
    </xf>
    <xf numFmtId="0" fontId="23" fillId="7" borderId="0" xfId="0" applyFont="1" applyFill="1" applyAlignment="1">
      <alignment horizontal="left" wrapText="1"/>
    </xf>
    <xf numFmtId="0" fontId="53" fillId="2" borderId="56" xfId="0" applyFont="1" applyFill="1" applyBorder="1" applyAlignment="1" applyProtection="1">
      <alignment horizontal="left" vertical="top" wrapText="1"/>
      <protection locked="0"/>
    </xf>
    <xf numFmtId="0" fontId="53" fillId="2" borderId="57" xfId="0" applyFont="1" applyFill="1" applyBorder="1" applyAlignment="1" applyProtection="1">
      <alignment horizontal="left" vertical="top" wrapText="1"/>
      <protection locked="0"/>
    </xf>
    <xf numFmtId="0" fontId="53" fillId="2" borderId="39" xfId="0" applyFont="1" applyFill="1" applyBorder="1" applyAlignment="1" applyProtection="1">
      <alignment horizontal="left" vertical="top" wrapText="1"/>
      <protection locked="0"/>
    </xf>
    <xf numFmtId="0" fontId="53" fillId="2" borderId="40" xfId="0" applyFont="1" applyFill="1" applyBorder="1" applyAlignment="1" applyProtection="1">
      <alignment horizontal="left" vertical="top" wrapText="1"/>
      <protection locked="0"/>
    </xf>
    <xf numFmtId="0" fontId="53" fillId="2" borderId="0" xfId="0" applyFont="1" applyFill="1" applyAlignment="1" applyProtection="1">
      <alignment horizontal="left" vertical="top" wrapText="1"/>
      <protection locked="0"/>
    </xf>
    <xf numFmtId="0" fontId="53" fillId="2" borderId="43" xfId="0" applyFont="1" applyFill="1" applyBorder="1" applyAlignment="1" applyProtection="1">
      <alignment horizontal="left" vertical="top" wrapText="1"/>
      <protection locked="0"/>
    </xf>
    <xf numFmtId="0" fontId="53" fillId="2" borderId="29" xfId="0" applyFont="1" applyFill="1" applyBorder="1" applyAlignment="1" applyProtection="1">
      <alignment horizontal="left" vertical="top" wrapText="1"/>
      <protection locked="0"/>
    </xf>
    <xf numFmtId="0" fontId="53" fillId="2" borderId="58" xfId="0" applyFont="1" applyFill="1" applyBorder="1" applyAlignment="1" applyProtection="1">
      <alignment horizontal="left" vertical="top" wrapText="1"/>
      <protection locked="0"/>
    </xf>
    <xf numFmtId="0" fontId="53" fillId="2" borderId="44" xfId="0" applyFont="1" applyFill="1" applyBorder="1" applyAlignment="1" applyProtection="1">
      <alignment horizontal="left" vertical="top" wrapText="1"/>
      <protection locked="0"/>
    </xf>
    <xf numFmtId="0" fontId="44" fillId="9" borderId="27" xfId="0" applyFont="1" applyFill="1" applyBorder="1" applyAlignment="1">
      <alignment horizontal="center" wrapText="1"/>
    </xf>
    <xf numFmtId="0" fontId="44" fillId="9" borderId="8" xfId="0" applyFont="1" applyFill="1" applyBorder="1" applyAlignment="1">
      <alignment horizontal="center" wrapText="1"/>
    </xf>
    <xf numFmtId="0" fontId="42" fillId="9" borderId="0" xfId="0" applyFont="1" applyFill="1" applyAlignment="1">
      <alignment horizontal="left" vertical="top"/>
    </xf>
    <xf numFmtId="0" fontId="38" fillId="11" borderId="0" xfId="0" applyFont="1" applyFill="1" applyAlignment="1" applyProtection="1">
      <alignment horizontal="left" vertical="center"/>
      <protection locked="0"/>
    </xf>
    <xf numFmtId="0" fontId="48" fillId="7" borderId="0" xfId="0" applyFont="1" applyFill="1" applyAlignment="1">
      <alignment horizontal="left" wrapText="1"/>
    </xf>
    <xf numFmtId="164" fontId="44" fillId="9" borderId="0" xfId="0" applyNumberFormat="1" applyFont="1" applyFill="1" applyAlignment="1">
      <alignment horizontal="left" vertical="top" wrapText="1"/>
    </xf>
    <xf numFmtId="0" fontId="47" fillId="7" borderId="0" xfId="0" applyFont="1" applyFill="1" applyAlignment="1">
      <alignment horizontal="left" wrapText="1"/>
    </xf>
    <xf numFmtId="0" fontId="47" fillId="7" borderId="0" xfId="0" applyFont="1" applyFill="1" applyAlignment="1">
      <alignment horizontal="left"/>
    </xf>
    <xf numFmtId="0" fontId="0" fillId="11" borderId="0" xfId="0" applyFill="1" applyAlignment="1">
      <alignment horizontal="left" vertical="center"/>
    </xf>
    <xf numFmtId="0" fontId="1" fillId="14" borderId="5" xfId="0" applyFont="1" applyFill="1" applyBorder="1" applyAlignment="1">
      <alignment horizontal="left" vertical="center" wrapText="1"/>
    </xf>
    <xf numFmtId="0" fontId="1" fillId="14" borderId="16" xfId="0" applyFont="1" applyFill="1" applyBorder="1" applyAlignment="1">
      <alignment horizontal="left" vertical="center" wrapText="1"/>
    </xf>
    <xf numFmtId="0" fontId="17" fillId="7" borderId="0" xfId="0" applyFont="1" applyFill="1" applyAlignment="1">
      <alignment horizontal="center" vertical="center"/>
    </xf>
    <xf numFmtId="0" fontId="17" fillId="10" borderId="0" xfId="0" applyFont="1" applyFill="1" applyAlignment="1">
      <alignment horizontal="center" vertical="center"/>
    </xf>
    <xf numFmtId="0" fontId="13" fillId="6" borderId="27" xfId="0" applyFont="1" applyFill="1" applyBorder="1" applyAlignment="1">
      <alignment horizontal="center" wrapText="1"/>
    </xf>
    <xf numFmtId="0" fontId="13" fillId="14" borderId="25" xfId="0" applyFont="1" applyFill="1" applyBorder="1" applyAlignment="1">
      <alignment horizontal="center" wrapText="1"/>
    </xf>
    <xf numFmtId="0" fontId="13" fillId="6" borderId="17" xfId="0" applyFont="1" applyFill="1" applyBorder="1" applyAlignment="1">
      <alignment horizontal="center" wrapText="1"/>
    </xf>
    <xf numFmtId="0" fontId="13" fillId="6" borderId="0" xfId="0" applyFont="1" applyFill="1" applyAlignment="1">
      <alignment horizontal="center" wrapText="1"/>
    </xf>
    <xf numFmtId="0" fontId="13" fillId="6" borderId="8" xfId="0" applyFont="1" applyFill="1" applyBorder="1" applyAlignment="1">
      <alignment horizontal="center" wrapText="1"/>
    </xf>
    <xf numFmtId="166" fontId="9" fillId="7" borderId="3" xfId="2" applyFont="1" applyFill="1" applyBorder="1" applyAlignment="1">
      <alignment horizontal="center"/>
    </xf>
    <xf numFmtId="0" fontId="9" fillId="7" borderId="3" xfId="0" applyFont="1" applyFill="1" applyBorder="1" applyAlignment="1">
      <alignment horizontal="center"/>
    </xf>
    <xf numFmtId="0" fontId="13" fillId="7" borderId="0" xfId="0" applyFont="1" applyFill="1" applyAlignment="1">
      <alignment horizontal="left" vertical="center"/>
    </xf>
    <xf numFmtId="0" fontId="2" fillId="5" borderId="0" xfId="0" applyFont="1" applyFill="1" applyAlignment="1">
      <alignment horizontal="center" vertical="center" wrapText="1"/>
    </xf>
    <xf numFmtId="0" fontId="14" fillId="9" borderId="56" xfId="0" applyFont="1" applyFill="1" applyBorder="1" applyAlignment="1">
      <alignment horizontal="center" vertical="center" wrapText="1"/>
    </xf>
    <xf numFmtId="0" fontId="14" fillId="9" borderId="57" xfId="0" applyFont="1" applyFill="1" applyBorder="1" applyAlignment="1">
      <alignment horizontal="center" vertical="center" wrapText="1"/>
    </xf>
    <xf numFmtId="0" fontId="14" fillId="9" borderId="39" xfId="0" applyFont="1" applyFill="1" applyBorder="1" applyAlignment="1">
      <alignment horizontal="center" vertical="center" wrapText="1"/>
    </xf>
    <xf numFmtId="0" fontId="9" fillId="7" borderId="0" xfId="0" applyFont="1" applyFill="1" applyAlignment="1">
      <alignment horizontal="center"/>
    </xf>
    <xf numFmtId="0" fontId="13" fillId="7" borderId="0" xfId="0" applyFont="1" applyFill="1" applyAlignment="1">
      <alignment horizontal="left" vertical="center" wrapText="1"/>
    </xf>
  </cellXfs>
  <cellStyles count="3">
    <cellStyle name="Currency" xfId="2" builtinId="4"/>
    <cellStyle name="Hyperlink" xfId="1" builtinId="8"/>
    <cellStyle name="Normal" xfId="0" builtinId="0"/>
  </cellStyles>
  <dxfs count="307">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ont>
        <strike/>
        <color theme="0" tint="-0.24994659260841701"/>
      </font>
    </dxf>
    <dxf>
      <font>
        <strike/>
        <color theme="0" tint="-0.14996795556505021"/>
      </font>
    </dxf>
    <dxf>
      <font>
        <strike/>
        <color theme="0" tint="-0.24994659260841701"/>
      </font>
    </dxf>
    <dxf>
      <font>
        <strike/>
        <color theme="0" tint="-0.24994659260841701"/>
      </font>
    </dxf>
    <dxf>
      <font>
        <strike/>
        <color theme="0" tint="-0.14996795556505021"/>
      </font>
    </dxf>
    <dxf>
      <font>
        <strike/>
        <color theme="0" tint="-0.14996795556505021"/>
      </font>
    </dxf>
    <dxf>
      <font>
        <strike/>
        <color theme="0" tint="-0.24994659260841701"/>
      </font>
    </dxf>
    <dxf>
      <font>
        <strike/>
        <color theme="0" tint="-0.24994659260841701"/>
      </font>
    </dxf>
    <dxf>
      <font>
        <strike/>
        <color theme="0" tint="-0.14996795556505021"/>
      </font>
    </dxf>
    <dxf>
      <font>
        <strike/>
        <color theme="0" tint="-0.14996795556505021"/>
      </font>
    </dxf>
    <dxf>
      <font>
        <strike/>
        <color theme="0" tint="-0.14996795556505021"/>
      </font>
    </dxf>
  </dxfs>
  <tableStyles count="1" defaultTableStyle="TableStyleMedium9" defaultPivotStyle="PivotStyleLight16">
    <tableStyle name="Invisible" pivot="0" table="0" count="0" xr9:uid="{1011CB1F-76DD-45ED-B2F7-C6BA1B956CA8}"/>
  </tableStyles>
  <colors>
    <mruColors>
      <color rgb="FF00385D"/>
      <color rgb="FFBFBFBF"/>
      <color rgb="FFF2F2F2"/>
      <color rgb="FFF97B1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AU" sz="1600" b="1"/>
              <a:t>Overall Expenditure Breakdown</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5.2781761547904232E-2"/>
          <c:y val="0.1734221730431727"/>
          <c:w val="0.88860557400647766"/>
          <c:h val="0.78437261636881495"/>
        </c:manualLayout>
      </c:layout>
      <c:ofPieChart>
        <c:ofPieType val="pie"/>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7E6-47AB-A1CF-DE550000739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7E6-47AB-A1CF-DE550000739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67E6-47AB-A1CF-DE5500007395}"/>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67E6-47AB-A1CF-DE5500007395}"/>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67E6-47AB-A1CF-DE5500007395}"/>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67E6-47AB-A1CF-DE5500007395}"/>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67E6-47AB-A1CF-DE5500007395}"/>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67E6-47AB-A1CF-DE5500007395}"/>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67E6-47AB-A1CF-DE5500007395}"/>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67E6-47AB-A1CF-DE5500007395}"/>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67E6-47AB-A1CF-DE5500007395}"/>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0B89-4F16-81AA-8F2376961C54}"/>
              </c:ext>
            </c:extLst>
          </c:dPt>
          <c:dLbls>
            <c:dLbl>
              <c:idx val="10"/>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5-67E6-47AB-A1CF-DE5500007395}"/>
                </c:ext>
              </c:extLst>
            </c:dLbl>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('S5. FY25-26 Dashboard'!$A$21,'S5. FY25-26 Dashboard'!$A$23:$A$32)</c:f>
              <c:strCache>
                <c:ptCount val="11"/>
                <c:pt idx="0">
                  <c:v>Employment Expenses</c:v>
                </c:pt>
                <c:pt idx="1">
                  <c:v>Property costs</c:v>
                </c:pt>
                <c:pt idx="2">
                  <c:v>Materials &amp; resources</c:v>
                </c:pt>
                <c:pt idx="3">
                  <c:v>Meetings &amp; gatherings</c:v>
                </c:pt>
                <c:pt idx="4">
                  <c:v>Office costs</c:v>
                </c:pt>
                <c:pt idx="5">
                  <c:v>Promotional costs</c:v>
                </c:pt>
                <c:pt idx="6">
                  <c:v>Travel</c:v>
                </c:pt>
                <c:pt idx="7">
                  <c:v>Professional development - Coordinator</c:v>
                </c:pt>
                <c:pt idx="8">
                  <c:v>Professional development - Tutors</c:v>
                </c:pt>
                <c:pt idx="9">
                  <c:v>Other </c:v>
                </c:pt>
                <c:pt idx="10">
                  <c:v>Overhead costs</c:v>
                </c:pt>
              </c:strCache>
            </c:strRef>
          </c:cat>
          <c:val>
            <c:numRef>
              <c:f>('S5. FY25-26 Dashboard'!$B$21,'S5. FY25-26 Dashboard'!$B$23:$B$32)</c:f>
              <c:numCache>
                <c:formatCode>_-"$"* #,##0_-;\-"$"* #,##0_-;_-"$"* "-"??_-;_-@_-</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D4BC-463B-974B-D7CB0ED1F7ED}"/>
            </c:ext>
          </c:extLst>
        </c:ser>
        <c:dLbls>
          <c:showLegendKey val="0"/>
          <c:showVal val="0"/>
          <c:showCatName val="0"/>
          <c:showSerName val="0"/>
          <c:showPercent val="0"/>
          <c:showBubbleSize val="0"/>
          <c:showLeaderLines val="1"/>
        </c:dLbls>
        <c:gapWidth val="100"/>
        <c:splitType val="percent"/>
        <c:splitPos val="5"/>
        <c:secondPieSize val="75"/>
        <c:serLines>
          <c:spPr>
            <a:ln w="9525" cap="flat" cmpd="sng" algn="ctr">
              <a:solidFill>
                <a:schemeClr val="tx1">
                  <a:lumMod val="35000"/>
                  <a:lumOff val="65000"/>
                </a:schemeClr>
              </a:solidFill>
              <a:round/>
            </a:ln>
            <a:effectLst/>
          </c:spPr>
        </c:serLines>
      </c:of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accent1">
        <a:lumMod val="20000"/>
        <a:lumOff val="80000"/>
      </a:schemeClr>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600" b="1">
                <a:latin typeface="Arial" panose="020B0604020202020204" pitchFamily="34" charset="0"/>
                <a:cs typeface="Arial" panose="020B0604020202020204" pitchFamily="34" charset="0"/>
              </a:rPr>
              <a:t>Salary Breakdown</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5D3-4A3C-AEEA-60E647B6C91D}"/>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75D3-4A3C-AEEA-60E647B6C91D}"/>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75D3-4A3C-AEEA-60E647B6C91D}"/>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75D3-4A3C-AEEA-60E647B6C91D}"/>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1"/>
            <c:showCatName val="1"/>
            <c:showSerName val="0"/>
            <c:showPercent val="0"/>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'S5. FY25-26 Dashboard'!$A$17:$A$20</c:f>
              <c:strCache>
                <c:ptCount val="4"/>
                <c:pt idx="0">
                  <c:v>Coordinator(s)</c:v>
                </c:pt>
                <c:pt idx="1">
                  <c:v>Line Manager(s)</c:v>
                </c:pt>
                <c:pt idx="2">
                  <c:v>Tutors</c:v>
                </c:pt>
                <c:pt idx="3">
                  <c:v>Other employment</c:v>
                </c:pt>
              </c:strCache>
            </c:strRef>
          </c:cat>
          <c:val>
            <c:numRef>
              <c:f>'S5. FY25-26 Dashboard'!$B$17:$B$20</c:f>
              <c:numCache>
                <c:formatCode>_-"$"* #,##0_-;\-"$"* #,##0_-;_-"$"* "-"??_-;_-@_-</c:formatCode>
                <c:ptCount val="4"/>
                <c:pt idx="0">
                  <c:v>0</c:v>
                </c:pt>
                <c:pt idx="1">
                  <c:v>0</c:v>
                </c:pt>
                <c:pt idx="2">
                  <c:v>0</c:v>
                </c:pt>
                <c:pt idx="3">
                  <c:v>0</c:v>
                </c:pt>
              </c:numCache>
            </c:numRef>
          </c:val>
          <c:extLst>
            <c:ext xmlns:c16="http://schemas.microsoft.com/office/drawing/2014/chart" uri="{C3380CC4-5D6E-409C-BE32-E72D297353CC}">
              <c16:uniqueId val="{00000000-CBDC-4A78-A49B-B440F916373A}"/>
            </c:ext>
          </c:extLst>
        </c:ser>
        <c:dLbls>
          <c:showLegendKey val="0"/>
          <c:showVal val="0"/>
          <c:showCatName val="0"/>
          <c:showSerName val="0"/>
          <c:showPercent val="0"/>
          <c:showBubbleSize val="0"/>
          <c:showLeaderLines val="1"/>
        </c:dLbls>
        <c:firstSliceAng val="75"/>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accent3">
        <a:lumMod val="20000"/>
        <a:lumOff val="80000"/>
      </a:schemeClr>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B7" lockText="1" noThreeD="1"/>
</file>

<file path=xl/ctrlProps/ctrlProp10.xml><?xml version="1.0" encoding="utf-8"?>
<formControlPr xmlns="http://schemas.microsoft.com/office/spreadsheetml/2009/9/main" objectType="CheckBox" fmlaLink="B27" lockText="1" noThreeD="1"/>
</file>

<file path=xl/ctrlProps/ctrlProp11.xml><?xml version="1.0" encoding="utf-8"?>
<formControlPr xmlns="http://schemas.microsoft.com/office/spreadsheetml/2009/9/main" objectType="CheckBox" fmlaLink="B24" lockText="1" noThreeD="1"/>
</file>

<file path=xl/ctrlProps/ctrlProp12.xml><?xml version="1.0" encoding="utf-8"?>
<formControlPr xmlns="http://schemas.microsoft.com/office/spreadsheetml/2009/9/main" objectType="CheckBox" fmlaLink="B31" lockText="1" noThreeD="1"/>
</file>

<file path=xl/ctrlProps/ctrlProp13.xml><?xml version="1.0" encoding="utf-8"?>
<formControlPr xmlns="http://schemas.microsoft.com/office/spreadsheetml/2009/9/main" objectType="CheckBox" fmlaLink="#REF!" lockText="1" noThreeD="1"/>
</file>

<file path=xl/ctrlProps/ctrlProp14.xml><?xml version="1.0" encoding="utf-8"?>
<formControlPr xmlns="http://schemas.microsoft.com/office/spreadsheetml/2009/9/main" objectType="CheckBox" fmlaLink="B32" lockText="1" noThreeD="1"/>
</file>

<file path=xl/ctrlProps/ctrlProp15.xml><?xml version="1.0" encoding="utf-8"?>
<formControlPr xmlns="http://schemas.microsoft.com/office/spreadsheetml/2009/9/main" objectType="CheckBox" fmlaLink="B33" lockText="1" noThreeD="1"/>
</file>

<file path=xl/ctrlProps/ctrlProp16.xml><?xml version="1.0" encoding="utf-8"?>
<formControlPr xmlns="http://schemas.microsoft.com/office/spreadsheetml/2009/9/main" objectType="CheckBox" fmlaLink="#REF!" lockText="1" noThreeD="1"/>
</file>

<file path=xl/ctrlProps/ctrlProp17.xml><?xml version="1.0" encoding="utf-8"?>
<formControlPr xmlns="http://schemas.microsoft.com/office/spreadsheetml/2009/9/main" objectType="CheckBox" fmlaLink="B34" lockText="1" noThreeD="1"/>
</file>

<file path=xl/ctrlProps/ctrlProp18.xml><?xml version="1.0" encoding="utf-8"?>
<formControlPr xmlns="http://schemas.microsoft.com/office/spreadsheetml/2009/9/main" objectType="CheckBox" fmlaLink="B35" lockText="1" noThreeD="1"/>
</file>

<file path=xl/ctrlProps/ctrlProp19.xml><?xml version="1.0" encoding="utf-8"?>
<formControlPr xmlns="http://schemas.microsoft.com/office/spreadsheetml/2009/9/main" objectType="CheckBox" fmlaLink="B37" lockText="1" noThreeD="1"/>
</file>

<file path=xl/ctrlProps/ctrlProp2.xml><?xml version="1.0" encoding="utf-8"?>
<formControlPr xmlns="http://schemas.microsoft.com/office/spreadsheetml/2009/9/main" objectType="CheckBox" fmlaLink="B8" lockText="1" noThreeD="1"/>
</file>

<file path=xl/ctrlProps/ctrlProp20.xml><?xml version="1.0" encoding="utf-8"?>
<formControlPr xmlns="http://schemas.microsoft.com/office/spreadsheetml/2009/9/main" objectType="CheckBox" fmlaLink="B38" lockText="1" noThreeD="1"/>
</file>

<file path=xl/ctrlProps/ctrlProp21.xml><?xml version="1.0" encoding="utf-8"?>
<formControlPr xmlns="http://schemas.microsoft.com/office/spreadsheetml/2009/9/main" objectType="CheckBox" fmlaLink="B38" lockText="1" noThreeD="1"/>
</file>

<file path=xl/ctrlProps/ctrlProp22.xml><?xml version="1.0" encoding="utf-8"?>
<formControlPr xmlns="http://schemas.microsoft.com/office/spreadsheetml/2009/9/main" objectType="CheckBox" fmlaLink="B22" lockText="1" noThreeD="1"/>
</file>

<file path=xl/ctrlProps/ctrlProp23.xml><?xml version="1.0" encoding="utf-8"?>
<formControlPr xmlns="http://schemas.microsoft.com/office/spreadsheetml/2009/9/main" objectType="CheckBox" fmlaLink="$B7" lockText="1" noThreeD="1"/>
</file>

<file path=xl/ctrlProps/ctrlProp24.xml><?xml version="1.0" encoding="utf-8"?>
<formControlPr xmlns="http://schemas.microsoft.com/office/spreadsheetml/2009/9/main" objectType="CheckBox" fmlaLink="B8" lockText="1" noThreeD="1"/>
</file>

<file path=xl/ctrlProps/ctrlProp25.xml><?xml version="1.0" encoding="utf-8"?>
<formControlPr xmlns="http://schemas.microsoft.com/office/spreadsheetml/2009/9/main" objectType="CheckBox" fmlaLink="B9" lockText="1" noThreeD="1"/>
</file>

<file path=xl/ctrlProps/ctrlProp26.xml><?xml version="1.0" encoding="utf-8"?>
<formControlPr xmlns="http://schemas.microsoft.com/office/spreadsheetml/2009/9/main" objectType="CheckBox" fmlaLink="#REF!" lockText="1" noThreeD="1"/>
</file>

<file path=xl/ctrlProps/ctrlProp27.xml><?xml version="1.0" encoding="utf-8"?>
<formControlPr xmlns="http://schemas.microsoft.com/office/spreadsheetml/2009/9/main" objectType="CheckBox" fmlaLink="B10" lockText="1" noThreeD="1"/>
</file>

<file path=xl/ctrlProps/ctrlProp28.xml><?xml version="1.0" encoding="utf-8"?>
<formControlPr xmlns="http://schemas.microsoft.com/office/spreadsheetml/2009/9/main" objectType="CheckBox" fmlaLink="#REF!" lockText="1" noThreeD="1"/>
</file>

<file path=xl/ctrlProps/ctrlProp29.xml><?xml version="1.0" encoding="utf-8"?>
<formControlPr xmlns="http://schemas.microsoft.com/office/spreadsheetml/2009/9/main" objectType="CheckBox" fmlaLink="#REF!" lockText="1" noThreeD="1"/>
</file>

<file path=xl/ctrlProps/ctrlProp3.xml><?xml version="1.0" encoding="utf-8"?>
<formControlPr xmlns="http://schemas.microsoft.com/office/spreadsheetml/2009/9/main" objectType="CheckBox" fmlaLink="B9" lockText="1" noThreeD="1"/>
</file>

<file path=xl/ctrlProps/ctrlProp30.xml><?xml version="1.0" encoding="utf-8"?>
<formControlPr xmlns="http://schemas.microsoft.com/office/spreadsheetml/2009/9/main" objectType="CheckBox" fmlaLink="#REF!" lockText="1" noThreeD="1"/>
</file>

<file path=xl/ctrlProps/ctrlProp31.xml><?xml version="1.0" encoding="utf-8"?>
<formControlPr xmlns="http://schemas.microsoft.com/office/spreadsheetml/2009/9/main" objectType="CheckBox" fmlaLink="#REF!" lockText="1" noThreeD="1"/>
</file>

<file path=xl/ctrlProps/ctrlProp32.xml><?xml version="1.0" encoding="utf-8"?>
<formControlPr xmlns="http://schemas.microsoft.com/office/spreadsheetml/2009/9/main" objectType="CheckBox" fmlaLink="#REF!" lockText="1" noThreeD="1"/>
</file>

<file path=xl/ctrlProps/ctrlProp33.xml><?xml version="1.0" encoding="utf-8"?>
<formControlPr xmlns="http://schemas.microsoft.com/office/spreadsheetml/2009/9/main" objectType="CheckBox" fmlaLink="#REF!" lockText="1" noThreeD="1"/>
</file>

<file path=xl/ctrlProps/ctrlProp34.xml><?xml version="1.0" encoding="utf-8"?>
<formControlPr xmlns="http://schemas.microsoft.com/office/spreadsheetml/2009/9/main" objectType="CheckBox" fmlaLink="B29" lockText="1" noThreeD="1"/>
</file>

<file path=xl/ctrlProps/ctrlProp35.xml><?xml version="1.0" encoding="utf-8"?>
<formControlPr xmlns="http://schemas.microsoft.com/office/spreadsheetml/2009/9/main" objectType="CheckBox" fmlaLink="#REF!" lockText="1" noThreeD="1"/>
</file>

<file path=xl/ctrlProps/ctrlProp36.xml><?xml version="1.0" encoding="utf-8"?>
<formControlPr xmlns="http://schemas.microsoft.com/office/spreadsheetml/2009/9/main" objectType="CheckBox" fmlaLink="$B$30" lockText="1" noThreeD="1"/>
</file>

<file path=xl/ctrlProps/ctrlProp37.xml><?xml version="1.0" encoding="utf-8"?>
<formControlPr xmlns="http://schemas.microsoft.com/office/spreadsheetml/2009/9/main" objectType="CheckBox" fmlaLink="$B$31" lockText="1" noThreeD="1"/>
</file>

<file path=xl/ctrlProps/ctrlProp38.xml><?xml version="1.0" encoding="utf-8"?>
<formControlPr xmlns="http://schemas.microsoft.com/office/spreadsheetml/2009/9/main" objectType="CheckBox" fmlaLink="#REF!" lockText="1" noThreeD="1"/>
</file>

<file path=xl/ctrlProps/ctrlProp39.xml><?xml version="1.0" encoding="utf-8"?>
<formControlPr xmlns="http://schemas.microsoft.com/office/spreadsheetml/2009/9/main" objectType="CheckBox" fmlaLink="$B$33" lockText="1" noThreeD="1"/>
</file>

<file path=xl/ctrlProps/ctrlProp4.xml><?xml version="1.0" encoding="utf-8"?>
<formControlPr xmlns="http://schemas.microsoft.com/office/spreadsheetml/2009/9/main" objectType="CheckBox" fmlaLink="#REF!" lockText="1" noThreeD="1"/>
</file>

<file path=xl/ctrlProps/ctrlProp40.xml><?xml version="1.0" encoding="utf-8"?>
<formControlPr xmlns="http://schemas.microsoft.com/office/spreadsheetml/2009/9/main" objectType="CheckBox" fmlaLink="$B$34" lockText="1" noThreeD="1"/>
</file>

<file path=xl/ctrlProps/ctrlProp41.xml><?xml version="1.0" encoding="utf-8"?>
<formControlPr xmlns="http://schemas.microsoft.com/office/spreadsheetml/2009/9/main" objectType="CheckBox" fmlaLink="$B$36" lockText="1" noThreeD="1"/>
</file>

<file path=xl/ctrlProps/ctrlProp42.xml><?xml version="1.0" encoding="utf-8"?>
<formControlPr xmlns="http://schemas.microsoft.com/office/spreadsheetml/2009/9/main" objectType="CheckBox" fmlaLink="$B$37" lockText="1" noThreeD="1"/>
</file>

<file path=xl/ctrlProps/ctrlProp43.xml><?xml version="1.0" encoding="utf-8"?>
<formControlPr xmlns="http://schemas.microsoft.com/office/spreadsheetml/2009/9/main" objectType="CheckBox" fmlaLink="$B$39" lockText="1" noThreeD="1"/>
</file>

<file path=xl/ctrlProps/ctrlProp44.xml><?xml version="1.0" encoding="utf-8"?>
<formControlPr xmlns="http://schemas.microsoft.com/office/spreadsheetml/2009/9/main" objectType="CheckBox" fmlaLink="#REF!" lockText="1" noThreeD="1"/>
</file>

<file path=xl/ctrlProps/ctrlProp45.xml><?xml version="1.0" encoding="utf-8"?>
<formControlPr xmlns="http://schemas.microsoft.com/office/spreadsheetml/2009/9/main" objectType="CheckBox" fmlaLink="$B8" lockText="1" noThreeD="1"/>
</file>

<file path=xl/ctrlProps/ctrlProp46.xml><?xml version="1.0" encoding="utf-8"?>
<formControlPr xmlns="http://schemas.microsoft.com/office/spreadsheetml/2009/9/main" objectType="CheckBox" fmlaLink="$B9" lockText="1" noThreeD="1"/>
</file>

<file path=xl/ctrlProps/ctrlProp47.xml><?xml version="1.0" encoding="utf-8"?>
<formControlPr xmlns="http://schemas.microsoft.com/office/spreadsheetml/2009/9/main" objectType="CheckBox" fmlaLink="$B10" lockText="1" noThreeD="1"/>
</file>

<file path=xl/ctrlProps/ctrlProp48.xml><?xml version="1.0" encoding="utf-8"?>
<formControlPr xmlns="http://schemas.microsoft.com/office/spreadsheetml/2009/9/main" objectType="CheckBox" fmlaLink="B8" lockText="1" noThreeD="1"/>
</file>

<file path=xl/ctrlProps/ctrlProp49.xml><?xml version="1.0" encoding="utf-8"?>
<formControlPr xmlns="http://schemas.microsoft.com/office/spreadsheetml/2009/9/main" objectType="CheckBox" fmlaLink="B9" lockText="1" noThreeD="1"/>
</file>

<file path=xl/ctrlProps/ctrlProp5.xml><?xml version="1.0" encoding="utf-8"?>
<formControlPr xmlns="http://schemas.microsoft.com/office/spreadsheetml/2009/9/main" objectType="CheckBox" fmlaLink="B10" lockText="1" noThreeD="1"/>
</file>

<file path=xl/ctrlProps/ctrlProp50.xml><?xml version="1.0" encoding="utf-8"?>
<formControlPr xmlns="http://schemas.microsoft.com/office/spreadsheetml/2009/9/main" objectType="CheckBox" fmlaLink="#REF!" lockText="1" noThreeD="1"/>
</file>

<file path=xl/ctrlProps/ctrlProp51.xml><?xml version="1.0" encoding="utf-8"?>
<formControlPr xmlns="http://schemas.microsoft.com/office/spreadsheetml/2009/9/main" objectType="CheckBox" fmlaLink="B10" lockText="1" noThreeD="1"/>
</file>

<file path=xl/ctrlProps/ctrlProp52.xml><?xml version="1.0" encoding="utf-8"?>
<formControlPr xmlns="http://schemas.microsoft.com/office/spreadsheetml/2009/9/main" objectType="CheckBox" fmlaLink="$B14" lockText="1" noThreeD="1"/>
</file>

<file path=xl/ctrlProps/ctrlProp53.xml><?xml version="1.0" encoding="utf-8"?>
<formControlPr xmlns="http://schemas.microsoft.com/office/spreadsheetml/2009/9/main" objectType="CheckBox" fmlaLink="$B15" lockText="1" noThreeD="1"/>
</file>

<file path=xl/ctrlProps/ctrlProp54.xml><?xml version="1.0" encoding="utf-8"?>
<formControlPr xmlns="http://schemas.microsoft.com/office/spreadsheetml/2009/9/main" objectType="CheckBox" fmlaLink="$B16" lockText="1" noThreeD="1"/>
</file>

<file path=xl/ctrlProps/ctrlProp55.xml><?xml version="1.0" encoding="utf-8"?>
<formControlPr xmlns="http://schemas.microsoft.com/office/spreadsheetml/2009/9/main" objectType="CheckBox" fmlaLink="#REF!" lockText="1" noThreeD="1"/>
</file>

<file path=xl/ctrlProps/ctrlProp56.xml><?xml version="1.0" encoding="utf-8"?>
<formControlPr xmlns="http://schemas.microsoft.com/office/spreadsheetml/2009/9/main" objectType="CheckBox" fmlaLink="B10" lockText="1" noThreeD="1"/>
</file>

<file path=xl/ctrlProps/ctrlProp57.xml><?xml version="1.0" encoding="utf-8"?>
<formControlPr xmlns="http://schemas.microsoft.com/office/spreadsheetml/2009/9/main" objectType="CheckBox" fmlaLink="$B18" lockText="1" noThreeD="1"/>
</file>

<file path=xl/ctrlProps/ctrlProp58.xml><?xml version="1.0" encoding="utf-8"?>
<formControlPr xmlns="http://schemas.microsoft.com/office/spreadsheetml/2009/9/main" objectType="CheckBox" fmlaLink="#REF!" lockText="1" noThreeD="1"/>
</file>

<file path=xl/ctrlProps/ctrlProp59.xml><?xml version="1.0" encoding="utf-8"?>
<formControlPr xmlns="http://schemas.microsoft.com/office/spreadsheetml/2009/9/main" objectType="CheckBox" fmlaLink="$B22" lockText="1" noThreeD="1"/>
</file>

<file path=xl/ctrlProps/ctrlProp6.xml><?xml version="1.0" encoding="utf-8"?>
<formControlPr xmlns="http://schemas.microsoft.com/office/spreadsheetml/2009/9/main" objectType="CheckBox" fmlaLink="B21" lockText="1" noThreeD="1"/>
</file>

<file path=xl/ctrlProps/ctrlProp60.xml><?xml version="1.0" encoding="utf-8"?>
<formControlPr xmlns="http://schemas.microsoft.com/office/spreadsheetml/2009/9/main" objectType="CheckBox" fmlaLink="$B24" lockText="1" noThreeD="1"/>
</file>

<file path=xl/ctrlProps/ctrlProp61.xml><?xml version="1.0" encoding="utf-8"?>
<formControlPr xmlns="http://schemas.microsoft.com/office/spreadsheetml/2009/9/main" objectType="CheckBox" fmlaLink="$B25" lockText="1" noThreeD="1"/>
</file>

<file path=xl/ctrlProps/ctrlProp62.xml><?xml version="1.0" encoding="utf-8"?>
<formControlPr xmlns="http://schemas.microsoft.com/office/spreadsheetml/2009/9/main" objectType="CheckBox" fmlaLink="$B$43" lockText="1" noThreeD="1"/>
</file>

<file path=xl/ctrlProps/ctrlProp63.xml><?xml version="1.0" encoding="utf-8"?>
<formControlPr xmlns="http://schemas.microsoft.com/office/spreadsheetml/2009/9/main" objectType="CheckBox" fmlaLink="#REF!" lockText="1" noThreeD="1"/>
</file>

<file path=xl/ctrlProps/ctrlProp64.xml><?xml version="1.0" encoding="utf-8"?>
<formControlPr xmlns="http://schemas.microsoft.com/office/spreadsheetml/2009/9/main" objectType="CheckBox" fmlaLink="$B$44" lockText="1" noThreeD="1"/>
</file>

<file path=xl/ctrlProps/ctrlProp65.xml><?xml version="1.0" encoding="utf-8"?>
<formControlPr xmlns="http://schemas.microsoft.com/office/spreadsheetml/2009/9/main" objectType="CheckBox" fmlaLink="$B$45" lockText="1" noThreeD="1"/>
</file>

<file path=xl/ctrlProps/ctrlProp66.xml><?xml version="1.0" encoding="utf-8"?>
<formControlPr xmlns="http://schemas.microsoft.com/office/spreadsheetml/2009/9/main" objectType="CheckBox" fmlaLink="#REF!" lockText="1" noThreeD="1"/>
</file>

<file path=xl/ctrlProps/ctrlProp67.xml><?xml version="1.0" encoding="utf-8"?>
<formControlPr xmlns="http://schemas.microsoft.com/office/spreadsheetml/2009/9/main" objectType="CheckBox" fmlaLink="$B$46" lockText="1" noThreeD="1"/>
</file>

<file path=xl/ctrlProps/ctrlProp68.xml><?xml version="1.0" encoding="utf-8"?>
<formControlPr xmlns="http://schemas.microsoft.com/office/spreadsheetml/2009/9/main" objectType="CheckBox" fmlaLink="$B$47" lockText="1" noThreeD="1"/>
</file>

<file path=xl/ctrlProps/ctrlProp69.xml><?xml version="1.0" encoding="utf-8"?>
<formControlPr xmlns="http://schemas.microsoft.com/office/spreadsheetml/2009/9/main" objectType="CheckBox" fmlaLink="#REF!" lockText="1" noThreeD="1"/>
</file>

<file path=xl/ctrlProps/ctrlProp7.xml><?xml version="1.0" encoding="utf-8"?>
<formControlPr xmlns="http://schemas.microsoft.com/office/spreadsheetml/2009/9/main" objectType="CheckBox" fmlaLink="B22" lockText="1" noThreeD="1"/>
</file>

<file path=xl/ctrlProps/ctrlProp70.xml><?xml version="1.0" encoding="utf-8"?>
<formControlPr xmlns="http://schemas.microsoft.com/office/spreadsheetml/2009/9/main" objectType="CheckBox" fmlaLink="B10" lockText="1" noThreeD="1"/>
</file>

<file path=xl/ctrlProps/ctrlProp71.xml><?xml version="1.0" encoding="utf-8"?>
<formControlPr xmlns="http://schemas.microsoft.com/office/spreadsheetml/2009/9/main" objectType="CheckBox" fmlaLink="$B17" lockText="1" noThreeD="1"/>
</file>

<file path=xl/ctrlProps/ctrlProp72.xml><?xml version="1.0" encoding="utf-8"?>
<formControlPr xmlns="http://schemas.microsoft.com/office/spreadsheetml/2009/9/main" objectType="CheckBox" fmlaLink="#REF!" lockText="1" noThreeD="1"/>
</file>

<file path=xl/ctrlProps/ctrlProp73.xml><?xml version="1.0" encoding="utf-8"?>
<formControlPr xmlns="http://schemas.microsoft.com/office/spreadsheetml/2009/9/main" objectType="CheckBox" fmlaLink="B10" lockText="1" noThreeD="1"/>
</file>

<file path=xl/ctrlProps/ctrlProp74.xml><?xml version="1.0" encoding="utf-8"?>
<formControlPr xmlns="http://schemas.microsoft.com/office/spreadsheetml/2009/9/main" objectType="CheckBox" fmlaLink="$B32" lockText="1" noThreeD="1"/>
</file>

<file path=xl/ctrlProps/ctrlProp8.xml><?xml version="1.0" encoding="utf-8"?>
<formControlPr xmlns="http://schemas.microsoft.com/office/spreadsheetml/2009/9/main" objectType="CheckBox" fmlaLink="#REF!" lockText="1" noThreeD="1"/>
</file>

<file path=xl/ctrlProps/ctrlProp9.xml><?xml version="1.0" encoding="utf-8"?>
<formControlPr xmlns="http://schemas.microsoft.com/office/spreadsheetml/2009/9/main" objectType="CheckBox" fmlaLink="B26"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1436370</xdr:colOff>
      <xdr:row>0</xdr:row>
      <xdr:rowOff>875926</xdr:rowOff>
    </xdr:to>
    <xdr:pic>
      <xdr:nvPicPr>
        <xdr:cNvPr id="2" name="Picture 1" descr="BSL_Hippy_CMYK_300dpi.jpg">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srcRect l="11454"/>
        <a:stretch>
          <a:fillRect/>
        </a:stretch>
      </xdr:blipFill>
      <xdr:spPr>
        <a:xfrm>
          <a:off x="0" y="0"/>
          <a:ext cx="1439545" cy="87592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123825</xdr:colOff>
      <xdr:row>0</xdr:row>
      <xdr:rowOff>0</xdr:rowOff>
    </xdr:from>
    <xdr:to>
      <xdr:col>0</xdr:col>
      <xdr:colOff>1563370</xdr:colOff>
      <xdr:row>0</xdr:row>
      <xdr:rowOff>877047</xdr:rowOff>
    </xdr:to>
    <xdr:pic>
      <xdr:nvPicPr>
        <xdr:cNvPr id="2" name="Picture 1" descr="BSL_Hippy_CMYK_300dpi.jpg">
          <a:extLst>
            <a:ext uri="{FF2B5EF4-FFF2-40B4-BE49-F238E27FC236}">
              <a16:creationId xmlns:a16="http://schemas.microsoft.com/office/drawing/2014/main" id="{9D1C88AA-1097-4E59-A2D1-7BAE49223666}"/>
            </a:ext>
          </a:extLst>
        </xdr:cNvPr>
        <xdr:cNvPicPr/>
      </xdr:nvPicPr>
      <xdr:blipFill>
        <a:blip xmlns:r="http://schemas.openxmlformats.org/officeDocument/2006/relationships" r:embed="rId1" cstate="print"/>
        <a:srcRect l="11454"/>
        <a:stretch>
          <a:fillRect/>
        </a:stretch>
      </xdr:blipFill>
      <xdr:spPr>
        <a:xfrm>
          <a:off x="123825" y="0"/>
          <a:ext cx="1439545" cy="87704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123825</xdr:colOff>
      <xdr:row>0</xdr:row>
      <xdr:rowOff>0</xdr:rowOff>
    </xdr:from>
    <xdr:to>
      <xdr:col>0</xdr:col>
      <xdr:colOff>1563370</xdr:colOff>
      <xdr:row>3</xdr:row>
      <xdr:rowOff>19797</xdr:rowOff>
    </xdr:to>
    <xdr:pic>
      <xdr:nvPicPr>
        <xdr:cNvPr id="2" name="Picture 1" descr="BSL_Hippy_CMYK_300dpi.jpg">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1" cstate="print"/>
        <a:srcRect l="11454"/>
        <a:stretch>
          <a:fillRect/>
        </a:stretch>
      </xdr:blipFill>
      <xdr:spPr>
        <a:xfrm>
          <a:off x="123825" y="66675"/>
          <a:ext cx="1439545" cy="873125"/>
        </a:xfrm>
        <a:prstGeom prst="rect">
          <a:avLst/>
        </a:prstGeom>
      </xdr:spPr>
    </xdr:pic>
    <xdr:clientData/>
  </xdr:twoCellAnchor>
  <xdr:twoCellAnchor>
    <xdr:from>
      <xdr:col>6</xdr:col>
      <xdr:colOff>209549</xdr:colOff>
      <xdr:row>0</xdr:row>
      <xdr:rowOff>847726</xdr:rowOff>
    </xdr:from>
    <xdr:to>
      <xdr:col>17</xdr:col>
      <xdr:colOff>400050</xdr:colOff>
      <xdr:row>20</xdr:row>
      <xdr:rowOff>28575</xdr:rowOff>
    </xdr:to>
    <xdr:graphicFrame macro="">
      <xdr:nvGraphicFramePr>
        <xdr:cNvPr id="75" name="Chart 2">
          <a:extLst>
            <a:ext uri="{FF2B5EF4-FFF2-40B4-BE49-F238E27FC236}">
              <a16:creationId xmlns:a16="http://schemas.microsoft.com/office/drawing/2014/main" id="{00000000-0008-0000-0900-00004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219075</xdr:colOff>
      <xdr:row>21</xdr:row>
      <xdr:rowOff>133350</xdr:rowOff>
    </xdr:from>
    <xdr:to>
      <xdr:col>15</xdr:col>
      <xdr:colOff>104775</xdr:colOff>
      <xdr:row>35</xdr:row>
      <xdr:rowOff>0</xdr:rowOff>
    </xdr:to>
    <xdr:graphicFrame macro="">
      <xdr:nvGraphicFramePr>
        <xdr:cNvPr id="65" name="Chart 3">
          <a:extLst>
            <a:ext uri="{FF2B5EF4-FFF2-40B4-BE49-F238E27FC236}">
              <a16:creationId xmlns:a16="http://schemas.microsoft.com/office/drawing/2014/main" id="{00000000-0008-0000-0900-00004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123825</xdr:colOff>
      <xdr:row>0</xdr:row>
      <xdr:rowOff>66675</xdr:rowOff>
    </xdr:from>
    <xdr:to>
      <xdr:col>0</xdr:col>
      <xdr:colOff>1563370</xdr:colOff>
      <xdr:row>0</xdr:row>
      <xdr:rowOff>939800</xdr:rowOff>
    </xdr:to>
    <xdr:pic>
      <xdr:nvPicPr>
        <xdr:cNvPr id="2" name="Picture 1" descr="BSL_Hippy_CMYK_300dpi.jpg">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1" cstate="print"/>
        <a:srcRect l="11454"/>
        <a:stretch>
          <a:fillRect/>
        </a:stretch>
      </xdr:blipFill>
      <xdr:spPr>
        <a:xfrm>
          <a:off x="123825" y="66675"/>
          <a:ext cx="1439545" cy="87312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123825</xdr:colOff>
      <xdr:row>0</xdr:row>
      <xdr:rowOff>66675</xdr:rowOff>
    </xdr:from>
    <xdr:to>
      <xdr:col>0</xdr:col>
      <xdr:colOff>1563370</xdr:colOff>
      <xdr:row>4</xdr:row>
      <xdr:rowOff>34925</xdr:rowOff>
    </xdr:to>
    <xdr:pic>
      <xdr:nvPicPr>
        <xdr:cNvPr id="2" name="Picture 1" descr="BSL_Hippy_CMYK_300dpi.jpg">
          <a:extLst>
            <a:ext uri="{FF2B5EF4-FFF2-40B4-BE49-F238E27FC236}">
              <a16:creationId xmlns:a16="http://schemas.microsoft.com/office/drawing/2014/main" id="{00000000-0008-0000-0E00-000002000000}"/>
            </a:ext>
          </a:extLst>
        </xdr:cNvPr>
        <xdr:cNvPicPr/>
      </xdr:nvPicPr>
      <xdr:blipFill>
        <a:blip xmlns:r="http://schemas.openxmlformats.org/officeDocument/2006/relationships" r:embed="rId1" cstate="print"/>
        <a:srcRect l="11454"/>
        <a:stretch>
          <a:fillRect/>
        </a:stretch>
      </xdr:blipFill>
      <xdr:spPr>
        <a:xfrm>
          <a:off x="123825" y="66675"/>
          <a:ext cx="1439545" cy="87312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123825</xdr:colOff>
      <xdr:row>0</xdr:row>
      <xdr:rowOff>66675</xdr:rowOff>
    </xdr:from>
    <xdr:to>
      <xdr:col>0</xdr:col>
      <xdr:colOff>1563370</xdr:colOff>
      <xdr:row>4</xdr:row>
      <xdr:rowOff>34925</xdr:rowOff>
    </xdr:to>
    <xdr:pic>
      <xdr:nvPicPr>
        <xdr:cNvPr id="2" name="Picture 1" descr="BSL_Hippy_CMYK_300dpi.jpg">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1" cstate="print"/>
        <a:srcRect l="11454"/>
        <a:stretch>
          <a:fillRect/>
        </a:stretch>
      </xdr:blipFill>
      <xdr:spPr>
        <a:xfrm>
          <a:off x="123825" y="66675"/>
          <a:ext cx="1439545" cy="8794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123825</xdr:colOff>
      <xdr:row>0</xdr:row>
      <xdr:rowOff>66675</xdr:rowOff>
    </xdr:from>
    <xdr:to>
      <xdr:col>0</xdr:col>
      <xdr:colOff>1563370</xdr:colOff>
      <xdr:row>4</xdr:row>
      <xdr:rowOff>46130</xdr:rowOff>
    </xdr:to>
    <xdr:pic>
      <xdr:nvPicPr>
        <xdr:cNvPr id="2" name="Picture 1" descr="BSL_Hippy_CMYK_300dpi.jpg">
          <a:extLst>
            <a:ext uri="{FF2B5EF4-FFF2-40B4-BE49-F238E27FC236}">
              <a16:creationId xmlns:a16="http://schemas.microsoft.com/office/drawing/2014/main" id="{00000000-0008-0000-1000-000002000000}"/>
            </a:ext>
          </a:extLst>
        </xdr:cNvPr>
        <xdr:cNvPicPr/>
      </xdr:nvPicPr>
      <xdr:blipFill>
        <a:blip xmlns:r="http://schemas.openxmlformats.org/officeDocument/2006/relationships" r:embed="rId1" cstate="print"/>
        <a:srcRect l="11454"/>
        <a:stretch>
          <a:fillRect/>
        </a:stretch>
      </xdr:blipFill>
      <xdr:spPr>
        <a:xfrm>
          <a:off x="123825" y="66675"/>
          <a:ext cx="1439545" cy="8731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31750</xdr:colOff>
          <xdr:row>6</xdr:row>
          <xdr:rowOff>0</xdr:rowOff>
        </xdr:from>
        <xdr:to>
          <xdr:col>1</xdr:col>
          <xdr:colOff>584200</xdr:colOff>
          <xdr:row>7</xdr:row>
          <xdr:rowOff>0</xdr:rowOff>
        </xdr:to>
        <xdr:sp macro="" textlink="">
          <xdr:nvSpPr>
            <xdr:cNvPr id="25601" name="Check Box 1" hidden="1">
              <a:extLst>
                <a:ext uri="{63B3BB69-23CF-44E3-9099-C40C66FF867C}">
                  <a14:compatExt spid="_x0000_s25601"/>
                </a:ext>
                <a:ext uri="{FF2B5EF4-FFF2-40B4-BE49-F238E27FC236}">
                  <a16:creationId xmlns:a16="http://schemas.microsoft.com/office/drawing/2014/main" id="{00000000-0008-0000-0200-00000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7</xdr:row>
          <xdr:rowOff>0</xdr:rowOff>
        </xdr:from>
        <xdr:to>
          <xdr:col>1</xdr:col>
          <xdr:colOff>584200</xdr:colOff>
          <xdr:row>8</xdr:row>
          <xdr:rowOff>0</xdr:rowOff>
        </xdr:to>
        <xdr:sp macro="" textlink="">
          <xdr:nvSpPr>
            <xdr:cNvPr id="25602" name="Check Box 2" hidden="1">
              <a:extLst>
                <a:ext uri="{63B3BB69-23CF-44E3-9099-C40C66FF867C}">
                  <a14:compatExt spid="_x0000_s25602"/>
                </a:ext>
                <a:ext uri="{FF2B5EF4-FFF2-40B4-BE49-F238E27FC236}">
                  <a16:creationId xmlns:a16="http://schemas.microsoft.com/office/drawing/2014/main" id="{00000000-0008-0000-0200-00000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8</xdr:row>
          <xdr:rowOff>0</xdr:rowOff>
        </xdr:from>
        <xdr:to>
          <xdr:col>1</xdr:col>
          <xdr:colOff>584200</xdr:colOff>
          <xdr:row>9</xdr:row>
          <xdr:rowOff>0</xdr:rowOff>
        </xdr:to>
        <xdr:sp macro="" textlink="">
          <xdr:nvSpPr>
            <xdr:cNvPr id="25603" name="Check Box 3" hidden="1">
              <a:extLst>
                <a:ext uri="{63B3BB69-23CF-44E3-9099-C40C66FF867C}">
                  <a14:compatExt spid="_x0000_s25603"/>
                </a:ext>
                <a:ext uri="{FF2B5EF4-FFF2-40B4-BE49-F238E27FC236}">
                  <a16:creationId xmlns:a16="http://schemas.microsoft.com/office/drawing/2014/main" id="{00000000-0008-0000-0200-00000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9</xdr:row>
          <xdr:rowOff>0</xdr:rowOff>
        </xdr:from>
        <xdr:to>
          <xdr:col>1</xdr:col>
          <xdr:colOff>584200</xdr:colOff>
          <xdr:row>10</xdr:row>
          <xdr:rowOff>0</xdr:rowOff>
        </xdr:to>
        <xdr:sp macro="" textlink="">
          <xdr:nvSpPr>
            <xdr:cNvPr id="25604" name="Check Box 4" hidden="1">
              <a:extLst>
                <a:ext uri="{63B3BB69-23CF-44E3-9099-C40C66FF867C}">
                  <a14:compatExt spid="_x0000_s25604"/>
                </a:ext>
                <a:ext uri="{FF2B5EF4-FFF2-40B4-BE49-F238E27FC236}">
                  <a16:creationId xmlns:a16="http://schemas.microsoft.com/office/drawing/2014/main" id="{00000000-0008-0000-0200-00000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9</xdr:row>
          <xdr:rowOff>0</xdr:rowOff>
        </xdr:from>
        <xdr:to>
          <xdr:col>1</xdr:col>
          <xdr:colOff>584200</xdr:colOff>
          <xdr:row>10</xdr:row>
          <xdr:rowOff>0</xdr:rowOff>
        </xdr:to>
        <xdr:sp macro="" textlink="">
          <xdr:nvSpPr>
            <xdr:cNvPr id="25605" name="Check Box 5" hidden="1">
              <a:extLst>
                <a:ext uri="{63B3BB69-23CF-44E3-9099-C40C66FF867C}">
                  <a14:compatExt spid="_x0000_s25605"/>
                </a:ext>
                <a:ext uri="{FF2B5EF4-FFF2-40B4-BE49-F238E27FC236}">
                  <a16:creationId xmlns:a16="http://schemas.microsoft.com/office/drawing/2014/main" id="{00000000-0008-0000-0200-000005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20</xdr:row>
          <xdr:rowOff>0</xdr:rowOff>
        </xdr:from>
        <xdr:to>
          <xdr:col>1</xdr:col>
          <xdr:colOff>584200</xdr:colOff>
          <xdr:row>21</xdr:row>
          <xdr:rowOff>0</xdr:rowOff>
        </xdr:to>
        <xdr:sp macro="" textlink="">
          <xdr:nvSpPr>
            <xdr:cNvPr id="25606" name="Check Box 6" hidden="1">
              <a:extLst>
                <a:ext uri="{63B3BB69-23CF-44E3-9099-C40C66FF867C}">
                  <a14:compatExt spid="_x0000_s25606"/>
                </a:ext>
                <a:ext uri="{FF2B5EF4-FFF2-40B4-BE49-F238E27FC236}">
                  <a16:creationId xmlns:a16="http://schemas.microsoft.com/office/drawing/2014/main" id="{00000000-0008-0000-0200-000006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21</xdr:row>
          <xdr:rowOff>0</xdr:rowOff>
        </xdr:from>
        <xdr:to>
          <xdr:col>1</xdr:col>
          <xdr:colOff>584200</xdr:colOff>
          <xdr:row>21</xdr:row>
          <xdr:rowOff>190500</xdr:rowOff>
        </xdr:to>
        <xdr:sp macro="" textlink="">
          <xdr:nvSpPr>
            <xdr:cNvPr id="25607" name="Check Box 7" hidden="1">
              <a:extLst>
                <a:ext uri="{63B3BB69-23CF-44E3-9099-C40C66FF867C}">
                  <a14:compatExt spid="_x0000_s25607"/>
                </a:ext>
                <a:ext uri="{FF2B5EF4-FFF2-40B4-BE49-F238E27FC236}">
                  <a16:creationId xmlns:a16="http://schemas.microsoft.com/office/drawing/2014/main" id="{00000000-0008-0000-0200-000007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23</xdr:row>
          <xdr:rowOff>0</xdr:rowOff>
        </xdr:from>
        <xdr:to>
          <xdr:col>1</xdr:col>
          <xdr:colOff>584200</xdr:colOff>
          <xdr:row>24</xdr:row>
          <xdr:rowOff>0</xdr:rowOff>
        </xdr:to>
        <xdr:sp macro="" textlink="">
          <xdr:nvSpPr>
            <xdr:cNvPr id="25608" name="Check Box 8" hidden="1">
              <a:extLst>
                <a:ext uri="{63B3BB69-23CF-44E3-9099-C40C66FF867C}">
                  <a14:compatExt spid="_x0000_s25608"/>
                </a:ext>
                <a:ext uri="{FF2B5EF4-FFF2-40B4-BE49-F238E27FC236}">
                  <a16:creationId xmlns:a16="http://schemas.microsoft.com/office/drawing/2014/main" id="{00000000-0008-0000-0200-000008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25</xdr:row>
          <xdr:rowOff>0</xdr:rowOff>
        </xdr:from>
        <xdr:to>
          <xdr:col>1</xdr:col>
          <xdr:colOff>584200</xdr:colOff>
          <xdr:row>26</xdr:row>
          <xdr:rowOff>0</xdr:rowOff>
        </xdr:to>
        <xdr:sp macro="" textlink="">
          <xdr:nvSpPr>
            <xdr:cNvPr id="25609" name="Check Box 9" hidden="1">
              <a:extLst>
                <a:ext uri="{63B3BB69-23CF-44E3-9099-C40C66FF867C}">
                  <a14:compatExt spid="_x0000_s25609"/>
                </a:ext>
                <a:ext uri="{FF2B5EF4-FFF2-40B4-BE49-F238E27FC236}">
                  <a16:creationId xmlns:a16="http://schemas.microsoft.com/office/drawing/2014/main" id="{00000000-0008-0000-0200-00000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26</xdr:row>
          <xdr:rowOff>0</xdr:rowOff>
        </xdr:from>
        <xdr:to>
          <xdr:col>1</xdr:col>
          <xdr:colOff>584200</xdr:colOff>
          <xdr:row>26</xdr:row>
          <xdr:rowOff>190500</xdr:rowOff>
        </xdr:to>
        <xdr:sp macro="" textlink="">
          <xdr:nvSpPr>
            <xdr:cNvPr id="25610" name="Check Box 10" hidden="1">
              <a:extLst>
                <a:ext uri="{63B3BB69-23CF-44E3-9099-C40C66FF867C}">
                  <a14:compatExt spid="_x0000_s25610"/>
                </a:ext>
                <a:ext uri="{FF2B5EF4-FFF2-40B4-BE49-F238E27FC236}">
                  <a16:creationId xmlns:a16="http://schemas.microsoft.com/office/drawing/2014/main" id="{00000000-0008-0000-0200-00000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23</xdr:row>
          <xdr:rowOff>0</xdr:rowOff>
        </xdr:from>
        <xdr:to>
          <xdr:col>1</xdr:col>
          <xdr:colOff>584200</xdr:colOff>
          <xdr:row>24</xdr:row>
          <xdr:rowOff>0</xdr:rowOff>
        </xdr:to>
        <xdr:sp macro="" textlink="">
          <xdr:nvSpPr>
            <xdr:cNvPr id="25611" name="Check Box 11" hidden="1">
              <a:extLst>
                <a:ext uri="{63B3BB69-23CF-44E3-9099-C40C66FF867C}">
                  <a14:compatExt spid="_x0000_s25611"/>
                </a:ext>
                <a:ext uri="{FF2B5EF4-FFF2-40B4-BE49-F238E27FC236}">
                  <a16:creationId xmlns:a16="http://schemas.microsoft.com/office/drawing/2014/main" id="{00000000-0008-0000-0200-00000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30</xdr:row>
          <xdr:rowOff>0</xdr:rowOff>
        </xdr:from>
        <xdr:to>
          <xdr:col>1</xdr:col>
          <xdr:colOff>584200</xdr:colOff>
          <xdr:row>31</xdr:row>
          <xdr:rowOff>0</xdr:rowOff>
        </xdr:to>
        <xdr:sp macro="" textlink="">
          <xdr:nvSpPr>
            <xdr:cNvPr id="25612" name="Check Box 12" hidden="1">
              <a:extLst>
                <a:ext uri="{63B3BB69-23CF-44E3-9099-C40C66FF867C}">
                  <a14:compatExt spid="_x0000_s25612"/>
                </a:ext>
                <a:ext uri="{FF2B5EF4-FFF2-40B4-BE49-F238E27FC236}">
                  <a16:creationId xmlns:a16="http://schemas.microsoft.com/office/drawing/2014/main" id="{00000000-0008-0000-0200-00000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31</xdr:row>
          <xdr:rowOff>0</xdr:rowOff>
        </xdr:from>
        <xdr:to>
          <xdr:col>1</xdr:col>
          <xdr:colOff>584200</xdr:colOff>
          <xdr:row>32</xdr:row>
          <xdr:rowOff>0</xdr:rowOff>
        </xdr:to>
        <xdr:sp macro="" textlink="">
          <xdr:nvSpPr>
            <xdr:cNvPr id="25613" name="Check Box 13" hidden="1">
              <a:extLst>
                <a:ext uri="{63B3BB69-23CF-44E3-9099-C40C66FF867C}">
                  <a14:compatExt spid="_x0000_s25613"/>
                </a:ext>
                <a:ext uri="{FF2B5EF4-FFF2-40B4-BE49-F238E27FC236}">
                  <a16:creationId xmlns:a16="http://schemas.microsoft.com/office/drawing/2014/main" id="{00000000-0008-0000-0200-00000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31</xdr:row>
          <xdr:rowOff>0</xdr:rowOff>
        </xdr:from>
        <xdr:to>
          <xdr:col>1</xdr:col>
          <xdr:colOff>584200</xdr:colOff>
          <xdr:row>32</xdr:row>
          <xdr:rowOff>0</xdr:rowOff>
        </xdr:to>
        <xdr:sp macro="" textlink="">
          <xdr:nvSpPr>
            <xdr:cNvPr id="25614" name="Check Box 14" hidden="1">
              <a:extLst>
                <a:ext uri="{63B3BB69-23CF-44E3-9099-C40C66FF867C}">
                  <a14:compatExt spid="_x0000_s25614"/>
                </a:ext>
                <a:ext uri="{FF2B5EF4-FFF2-40B4-BE49-F238E27FC236}">
                  <a16:creationId xmlns:a16="http://schemas.microsoft.com/office/drawing/2014/main" id="{00000000-0008-0000-0200-00000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32</xdr:row>
          <xdr:rowOff>0</xdr:rowOff>
        </xdr:from>
        <xdr:to>
          <xdr:col>1</xdr:col>
          <xdr:colOff>584200</xdr:colOff>
          <xdr:row>33</xdr:row>
          <xdr:rowOff>0</xdr:rowOff>
        </xdr:to>
        <xdr:sp macro="" textlink="">
          <xdr:nvSpPr>
            <xdr:cNvPr id="25615" name="Check Box 15" hidden="1">
              <a:extLst>
                <a:ext uri="{63B3BB69-23CF-44E3-9099-C40C66FF867C}">
                  <a14:compatExt spid="_x0000_s25615"/>
                </a:ext>
                <a:ext uri="{FF2B5EF4-FFF2-40B4-BE49-F238E27FC236}">
                  <a16:creationId xmlns:a16="http://schemas.microsoft.com/office/drawing/2014/main" id="{00000000-0008-0000-0200-00000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33</xdr:row>
          <xdr:rowOff>0</xdr:rowOff>
        </xdr:from>
        <xdr:to>
          <xdr:col>1</xdr:col>
          <xdr:colOff>584200</xdr:colOff>
          <xdr:row>34</xdr:row>
          <xdr:rowOff>0</xdr:rowOff>
        </xdr:to>
        <xdr:sp macro="" textlink="">
          <xdr:nvSpPr>
            <xdr:cNvPr id="25616" name="Check Box 16" hidden="1">
              <a:extLst>
                <a:ext uri="{63B3BB69-23CF-44E3-9099-C40C66FF867C}">
                  <a14:compatExt spid="_x0000_s25616"/>
                </a:ext>
                <a:ext uri="{FF2B5EF4-FFF2-40B4-BE49-F238E27FC236}">
                  <a16:creationId xmlns:a16="http://schemas.microsoft.com/office/drawing/2014/main" id="{00000000-0008-0000-0200-00001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33</xdr:row>
          <xdr:rowOff>0</xdr:rowOff>
        </xdr:from>
        <xdr:to>
          <xdr:col>1</xdr:col>
          <xdr:colOff>584200</xdr:colOff>
          <xdr:row>34</xdr:row>
          <xdr:rowOff>0</xdr:rowOff>
        </xdr:to>
        <xdr:sp macro="" textlink="">
          <xdr:nvSpPr>
            <xdr:cNvPr id="25617" name="Check Box 17" hidden="1">
              <a:extLst>
                <a:ext uri="{63B3BB69-23CF-44E3-9099-C40C66FF867C}">
                  <a14:compatExt spid="_x0000_s25617"/>
                </a:ext>
                <a:ext uri="{FF2B5EF4-FFF2-40B4-BE49-F238E27FC236}">
                  <a16:creationId xmlns:a16="http://schemas.microsoft.com/office/drawing/2014/main" id="{00000000-0008-0000-0200-00001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34</xdr:row>
          <xdr:rowOff>0</xdr:rowOff>
        </xdr:from>
        <xdr:to>
          <xdr:col>1</xdr:col>
          <xdr:colOff>584200</xdr:colOff>
          <xdr:row>34</xdr:row>
          <xdr:rowOff>190500</xdr:rowOff>
        </xdr:to>
        <xdr:sp macro="" textlink="">
          <xdr:nvSpPr>
            <xdr:cNvPr id="25618" name="Check Box 18" hidden="1">
              <a:extLst>
                <a:ext uri="{63B3BB69-23CF-44E3-9099-C40C66FF867C}">
                  <a14:compatExt spid="_x0000_s25618"/>
                </a:ext>
                <a:ext uri="{FF2B5EF4-FFF2-40B4-BE49-F238E27FC236}">
                  <a16:creationId xmlns:a16="http://schemas.microsoft.com/office/drawing/2014/main" id="{00000000-0008-0000-0200-00001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36</xdr:row>
          <xdr:rowOff>0</xdr:rowOff>
        </xdr:from>
        <xdr:to>
          <xdr:col>1</xdr:col>
          <xdr:colOff>584200</xdr:colOff>
          <xdr:row>37</xdr:row>
          <xdr:rowOff>0</xdr:rowOff>
        </xdr:to>
        <xdr:sp macro="" textlink="">
          <xdr:nvSpPr>
            <xdr:cNvPr id="25619" name="Check Box 19" hidden="1">
              <a:extLst>
                <a:ext uri="{63B3BB69-23CF-44E3-9099-C40C66FF867C}">
                  <a14:compatExt spid="_x0000_s25619"/>
                </a:ext>
                <a:ext uri="{FF2B5EF4-FFF2-40B4-BE49-F238E27FC236}">
                  <a16:creationId xmlns:a16="http://schemas.microsoft.com/office/drawing/2014/main" id="{00000000-0008-0000-0200-00001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37</xdr:row>
          <xdr:rowOff>0</xdr:rowOff>
        </xdr:from>
        <xdr:to>
          <xdr:col>1</xdr:col>
          <xdr:colOff>584200</xdr:colOff>
          <xdr:row>37</xdr:row>
          <xdr:rowOff>190500</xdr:rowOff>
        </xdr:to>
        <xdr:sp macro="" textlink="">
          <xdr:nvSpPr>
            <xdr:cNvPr id="25620" name="Check Box 20" hidden="1">
              <a:extLst>
                <a:ext uri="{63B3BB69-23CF-44E3-9099-C40C66FF867C}">
                  <a14:compatExt spid="_x0000_s25620"/>
                </a:ext>
                <a:ext uri="{FF2B5EF4-FFF2-40B4-BE49-F238E27FC236}">
                  <a16:creationId xmlns:a16="http://schemas.microsoft.com/office/drawing/2014/main" id="{00000000-0008-0000-0200-00001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xdr:twoCellAnchor editAs="oneCell">
    <xdr:from>
      <xdr:col>0</xdr:col>
      <xdr:colOff>161925</xdr:colOff>
      <xdr:row>0</xdr:row>
      <xdr:rowOff>66675</xdr:rowOff>
    </xdr:from>
    <xdr:to>
      <xdr:col>0</xdr:col>
      <xdr:colOff>1601470</xdr:colOff>
      <xdr:row>1</xdr:row>
      <xdr:rowOff>747</xdr:rowOff>
    </xdr:to>
    <xdr:pic>
      <xdr:nvPicPr>
        <xdr:cNvPr id="2" name="Picture 1" descr="BSL_Hippy_CMYK_300dpi.jpg">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srcRect l="11454"/>
        <a:stretch>
          <a:fillRect/>
        </a:stretch>
      </xdr:blipFill>
      <xdr:spPr>
        <a:xfrm>
          <a:off x="161925" y="66675"/>
          <a:ext cx="1439545" cy="877047"/>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31750</xdr:colOff>
          <xdr:row>39</xdr:row>
          <xdr:rowOff>0</xdr:rowOff>
        </xdr:from>
        <xdr:to>
          <xdr:col>1</xdr:col>
          <xdr:colOff>584200</xdr:colOff>
          <xdr:row>39</xdr:row>
          <xdr:rowOff>190500</xdr:rowOff>
        </xdr:to>
        <xdr:sp macro="" textlink="">
          <xdr:nvSpPr>
            <xdr:cNvPr id="25621" name="Check Box 21" hidden="1">
              <a:extLst>
                <a:ext uri="{63B3BB69-23CF-44E3-9099-C40C66FF867C}">
                  <a14:compatExt spid="_x0000_s25621"/>
                </a:ext>
                <a:ext uri="{FF2B5EF4-FFF2-40B4-BE49-F238E27FC236}">
                  <a16:creationId xmlns:a16="http://schemas.microsoft.com/office/drawing/2014/main" id="{00000000-0008-0000-0200-000015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22</xdr:row>
          <xdr:rowOff>0</xdr:rowOff>
        </xdr:from>
        <xdr:to>
          <xdr:col>1</xdr:col>
          <xdr:colOff>584200</xdr:colOff>
          <xdr:row>23</xdr:row>
          <xdr:rowOff>0</xdr:rowOff>
        </xdr:to>
        <xdr:sp macro="" textlink="">
          <xdr:nvSpPr>
            <xdr:cNvPr id="25622" name="Check Box 22" hidden="1">
              <a:extLst>
                <a:ext uri="{63B3BB69-23CF-44E3-9099-C40C66FF867C}">
                  <a14:compatExt spid="_x0000_s25622"/>
                </a:ext>
                <a:ext uri="{FF2B5EF4-FFF2-40B4-BE49-F238E27FC236}">
                  <a16:creationId xmlns:a16="http://schemas.microsoft.com/office/drawing/2014/main" id="{00000000-0008-0000-0200-000016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31750</xdr:colOff>
          <xdr:row>6</xdr:row>
          <xdr:rowOff>0</xdr:rowOff>
        </xdr:from>
        <xdr:to>
          <xdr:col>1</xdr:col>
          <xdr:colOff>584200</xdr:colOff>
          <xdr:row>7</xdr:row>
          <xdr:rowOff>0</xdr:rowOff>
        </xdr:to>
        <xdr:sp macro="" textlink="">
          <xdr:nvSpPr>
            <xdr:cNvPr id="11269" name="Check Box 5" hidden="1">
              <a:extLst>
                <a:ext uri="{63B3BB69-23CF-44E3-9099-C40C66FF867C}">
                  <a14:compatExt spid="_x0000_s11269"/>
                </a:ext>
                <a:ext uri="{FF2B5EF4-FFF2-40B4-BE49-F238E27FC236}">
                  <a16:creationId xmlns:a16="http://schemas.microsoft.com/office/drawing/2014/main" id="{00000000-0008-0000-03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7</xdr:row>
          <xdr:rowOff>0</xdr:rowOff>
        </xdr:from>
        <xdr:to>
          <xdr:col>1</xdr:col>
          <xdr:colOff>584200</xdr:colOff>
          <xdr:row>8</xdr:row>
          <xdr:rowOff>0</xdr:rowOff>
        </xdr:to>
        <xdr:sp macro="" textlink="">
          <xdr:nvSpPr>
            <xdr:cNvPr id="11270" name="Check Box 6" hidden="1">
              <a:extLst>
                <a:ext uri="{63B3BB69-23CF-44E3-9099-C40C66FF867C}">
                  <a14:compatExt spid="_x0000_s11270"/>
                </a:ext>
                <a:ext uri="{FF2B5EF4-FFF2-40B4-BE49-F238E27FC236}">
                  <a16:creationId xmlns:a16="http://schemas.microsoft.com/office/drawing/2014/main" id="{00000000-0008-0000-0300-00000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8</xdr:row>
          <xdr:rowOff>0</xdr:rowOff>
        </xdr:from>
        <xdr:to>
          <xdr:col>1</xdr:col>
          <xdr:colOff>584200</xdr:colOff>
          <xdr:row>9</xdr:row>
          <xdr:rowOff>0</xdr:rowOff>
        </xdr:to>
        <xdr:sp macro="" textlink="">
          <xdr:nvSpPr>
            <xdr:cNvPr id="11271" name="Check Box 7" hidden="1">
              <a:extLst>
                <a:ext uri="{63B3BB69-23CF-44E3-9099-C40C66FF867C}">
                  <a14:compatExt spid="_x0000_s11271"/>
                </a:ext>
                <a:ext uri="{FF2B5EF4-FFF2-40B4-BE49-F238E27FC236}">
                  <a16:creationId xmlns:a16="http://schemas.microsoft.com/office/drawing/2014/main" id="{00000000-0008-0000-03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9</xdr:row>
          <xdr:rowOff>0</xdr:rowOff>
        </xdr:from>
        <xdr:to>
          <xdr:col>1</xdr:col>
          <xdr:colOff>584200</xdr:colOff>
          <xdr:row>10</xdr:row>
          <xdr:rowOff>0</xdr:rowOff>
        </xdr:to>
        <xdr:sp macro="" textlink="">
          <xdr:nvSpPr>
            <xdr:cNvPr id="11272" name="Check Box 8" hidden="1">
              <a:extLst>
                <a:ext uri="{63B3BB69-23CF-44E3-9099-C40C66FF867C}">
                  <a14:compatExt spid="_x0000_s11272"/>
                </a:ext>
                <a:ext uri="{FF2B5EF4-FFF2-40B4-BE49-F238E27FC236}">
                  <a16:creationId xmlns:a16="http://schemas.microsoft.com/office/drawing/2014/main" id="{00000000-0008-0000-0300-00000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9</xdr:row>
          <xdr:rowOff>0</xdr:rowOff>
        </xdr:from>
        <xdr:to>
          <xdr:col>1</xdr:col>
          <xdr:colOff>584200</xdr:colOff>
          <xdr:row>10</xdr:row>
          <xdr:rowOff>0</xdr:rowOff>
        </xdr:to>
        <xdr:sp macro="" textlink="">
          <xdr:nvSpPr>
            <xdr:cNvPr id="11273" name="Check Box 9" hidden="1">
              <a:extLst>
                <a:ext uri="{63B3BB69-23CF-44E3-9099-C40C66FF867C}">
                  <a14:compatExt spid="_x0000_s11273"/>
                </a:ext>
                <a:ext uri="{FF2B5EF4-FFF2-40B4-BE49-F238E27FC236}">
                  <a16:creationId xmlns:a16="http://schemas.microsoft.com/office/drawing/2014/main" id="{00000000-0008-0000-0300-00000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19</xdr:row>
          <xdr:rowOff>0</xdr:rowOff>
        </xdr:from>
        <xdr:to>
          <xdr:col>1</xdr:col>
          <xdr:colOff>584200</xdr:colOff>
          <xdr:row>20</xdr:row>
          <xdr:rowOff>0</xdr:rowOff>
        </xdr:to>
        <xdr:sp macro="" textlink="">
          <xdr:nvSpPr>
            <xdr:cNvPr id="11274" name="Check Box 10" hidden="1">
              <a:extLst>
                <a:ext uri="{63B3BB69-23CF-44E3-9099-C40C66FF867C}">
                  <a14:compatExt spid="_x0000_s11274"/>
                </a:ext>
                <a:ext uri="{FF2B5EF4-FFF2-40B4-BE49-F238E27FC236}">
                  <a16:creationId xmlns:a16="http://schemas.microsoft.com/office/drawing/2014/main" id="{00000000-0008-0000-0300-00000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19</xdr:row>
          <xdr:rowOff>0</xdr:rowOff>
        </xdr:from>
        <xdr:to>
          <xdr:col>1</xdr:col>
          <xdr:colOff>584200</xdr:colOff>
          <xdr:row>20</xdr:row>
          <xdr:rowOff>0</xdr:rowOff>
        </xdr:to>
        <xdr:sp macro="" textlink="">
          <xdr:nvSpPr>
            <xdr:cNvPr id="11275" name="Check Box 11" hidden="1">
              <a:extLst>
                <a:ext uri="{63B3BB69-23CF-44E3-9099-C40C66FF867C}">
                  <a14:compatExt spid="_x0000_s11275"/>
                </a:ext>
                <a:ext uri="{FF2B5EF4-FFF2-40B4-BE49-F238E27FC236}">
                  <a16:creationId xmlns:a16="http://schemas.microsoft.com/office/drawing/2014/main" id="{00000000-0008-0000-0300-00000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19</xdr:row>
          <xdr:rowOff>0</xdr:rowOff>
        </xdr:from>
        <xdr:to>
          <xdr:col>1</xdr:col>
          <xdr:colOff>584200</xdr:colOff>
          <xdr:row>20</xdr:row>
          <xdr:rowOff>0</xdr:rowOff>
        </xdr:to>
        <xdr:sp macro="" textlink="">
          <xdr:nvSpPr>
            <xdr:cNvPr id="11276" name="Check Box 12" hidden="1">
              <a:extLst>
                <a:ext uri="{63B3BB69-23CF-44E3-9099-C40C66FF867C}">
                  <a14:compatExt spid="_x0000_s11276"/>
                </a:ext>
                <a:ext uri="{FF2B5EF4-FFF2-40B4-BE49-F238E27FC236}">
                  <a16:creationId xmlns:a16="http://schemas.microsoft.com/office/drawing/2014/main" id="{00000000-0008-0000-0300-00000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19</xdr:row>
          <xdr:rowOff>0</xdr:rowOff>
        </xdr:from>
        <xdr:to>
          <xdr:col>1</xdr:col>
          <xdr:colOff>584200</xdr:colOff>
          <xdr:row>20</xdr:row>
          <xdr:rowOff>0</xdr:rowOff>
        </xdr:to>
        <xdr:sp macro="" textlink="">
          <xdr:nvSpPr>
            <xdr:cNvPr id="11278" name="Check Box 14" hidden="1">
              <a:extLst>
                <a:ext uri="{63B3BB69-23CF-44E3-9099-C40C66FF867C}">
                  <a14:compatExt spid="_x0000_s11278"/>
                </a:ext>
                <a:ext uri="{FF2B5EF4-FFF2-40B4-BE49-F238E27FC236}">
                  <a16:creationId xmlns:a16="http://schemas.microsoft.com/office/drawing/2014/main" id="{00000000-0008-0000-0300-00000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19</xdr:row>
          <xdr:rowOff>0</xdr:rowOff>
        </xdr:from>
        <xdr:to>
          <xdr:col>1</xdr:col>
          <xdr:colOff>584200</xdr:colOff>
          <xdr:row>20</xdr:row>
          <xdr:rowOff>0</xdr:rowOff>
        </xdr:to>
        <xdr:sp macro="" textlink="">
          <xdr:nvSpPr>
            <xdr:cNvPr id="11279" name="Check Box 15" hidden="1">
              <a:extLst>
                <a:ext uri="{63B3BB69-23CF-44E3-9099-C40C66FF867C}">
                  <a14:compatExt spid="_x0000_s11279"/>
                </a:ext>
                <a:ext uri="{FF2B5EF4-FFF2-40B4-BE49-F238E27FC236}">
                  <a16:creationId xmlns:a16="http://schemas.microsoft.com/office/drawing/2014/main" id="{00000000-0008-0000-0300-00000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19</xdr:row>
          <xdr:rowOff>0</xdr:rowOff>
        </xdr:from>
        <xdr:to>
          <xdr:col>1</xdr:col>
          <xdr:colOff>584200</xdr:colOff>
          <xdr:row>20</xdr:row>
          <xdr:rowOff>0</xdr:rowOff>
        </xdr:to>
        <xdr:sp macro="" textlink="">
          <xdr:nvSpPr>
            <xdr:cNvPr id="11280" name="Check Box 16" hidden="1">
              <a:extLst>
                <a:ext uri="{63B3BB69-23CF-44E3-9099-C40C66FF867C}">
                  <a14:compatExt spid="_x0000_s11280"/>
                </a:ext>
                <a:ext uri="{FF2B5EF4-FFF2-40B4-BE49-F238E27FC236}">
                  <a16:creationId xmlns:a16="http://schemas.microsoft.com/office/drawing/2014/main" id="{00000000-0008-0000-0300-00001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28</xdr:row>
          <xdr:rowOff>0</xdr:rowOff>
        </xdr:from>
        <xdr:to>
          <xdr:col>1</xdr:col>
          <xdr:colOff>584200</xdr:colOff>
          <xdr:row>29</xdr:row>
          <xdr:rowOff>0</xdr:rowOff>
        </xdr:to>
        <xdr:sp macro="" textlink="">
          <xdr:nvSpPr>
            <xdr:cNvPr id="11281" name="Check Box 17" hidden="1">
              <a:extLst>
                <a:ext uri="{63B3BB69-23CF-44E3-9099-C40C66FF867C}">
                  <a14:compatExt spid="_x0000_s11281"/>
                </a:ext>
                <a:ext uri="{FF2B5EF4-FFF2-40B4-BE49-F238E27FC236}">
                  <a16:creationId xmlns:a16="http://schemas.microsoft.com/office/drawing/2014/main" id="{00000000-0008-0000-0300-00001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29</xdr:row>
          <xdr:rowOff>0</xdr:rowOff>
        </xdr:from>
        <xdr:to>
          <xdr:col>1</xdr:col>
          <xdr:colOff>584200</xdr:colOff>
          <xdr:row>30</xdr:row>
          <xdr:rowOff>0</xdr:rowOff>
        </xdr:to>
        <xdr:sp macro="" textlink="">
          <xdr:nvSpPr>
            <xdr:cNvPr id="11282" name="Check Box 18" hidden="1">
              <a:extLst>
                <a:ext uri="{63B3BB69-23CF-44E3-9099-C40C66FF867C}">
                  <a14:compatExt spid="_x0000_s11282"/>
                </a:ext>
                <a:ext uri="{FF2B5EF4-FFF2-40B4-BE49-F238E27FC236}">
                  <a16:creationId xmlns:a16="http://schemas.microsoft.com/office/drawing/2014/main" id="{00000000-0008-0000-0300-00001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29</xdr:row>
          <xdr:rowOff>0</xdr:rowOff>
        </xdr:from>
        <xdr:to>
          <xdr:col>1</xdr:col>
          <xdr:colOff>584200</xdr:colOff>
          <xdr:row>30</xdr:row>
          <xdr:rowOff>0</xdr:rowOff>
        </xdr:to>
        <xdr:sp macro="" textlink="">
          <xdr:nvSpPr>
            <xdr:cNvPr id="11283" name="Check Box 19" hidden="1">
              <a:extLst>
                <a:ext uri="{63B3BB69-23CF-44E3-9099-C40C66FF867C}">
                  <a14:compatExt spid="_x0000_s11283"/>
                </a:ext>
                <a:ext uri="{FF2B5EF4-FFF2-40B4-BE49-F238E27FC236}">
                  <a16:creationId xmlns:a16="http://schemas.microsoft.com/office/drawing/2014/main" id="{00000000-0008-0000-0300-00001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30</xdr:row>
          <xdr:rowOff>0</xdr:rowOff>
        </xdr:from>
        <xdr:to>
          <xdr:col>1</xdr:col>
          <xdr:colOff>584200</xdr:colOff>
          <xdr:row>31</xdr:row>
          <xdr:rowOff>0</xdr:rowOff>
        </xdr:to>
        <xdr:sp macro="" textlink="">
          <xdr:nvSpPr>
            <xdr:cNvPr id="11284" name="Check Box 20" hidden="1">
              <a:extLst>
                <a:ext uri="{63B3BB69-23CF-44E3-9099-C40C66FF867C}">
                  <a14:compatExt spid="_x0000_s11284"/>
                </a:ext>
                <a:ext uri="{FF2B5EF4-FFF2-40B4-BE49-F238E27FC236}">
                  <a16:creationId xmlns:a16="http://schemas.microsoft.com/office/drawing/2014/main" id="{00000000-0008-0000-0300-00001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32</xdr:row>
          <xdr:rowOff>0</xdr:rowOff>
        </xdr:from>
        <xdr:to>
          <xdr:col>1</xdr:col>
          <xdr:colOff>584200</xdr:colOff>
          <xdr:row>33</xdr:row>
          <xdr:rowOff>0</xdr:rowOff>
        </xdr:to>
        <xdr:sp macro="" textlink="">
          <xdr:nvSpPr>
            <xdr:cNvPr id="11285" name="Check Box 21" hidden="1">
              <a:extLst>
                <a:ext uri="{63B3BB69-23CF-44E3-9099-C40C66FF867C}">
                  <a14:compatExt spid="_x0000_s11285"/>
                </a:ext>
                <a:ext uri="{FF2B5EF4-FFF2-40B4-BE49-F238E27FC236}">
                  <a16:creationId xmlns:a16="http://schemas.microsoft.com/office/drawing/2014/main" id="{00000000-0008-0000-0300-00001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32</xdr:row>
          <xdr:rowOff>0</xdr:rowOff>
        </xdr:from>
        <xdr:to>
          <xdr:col>1</xdr:col>
          <xdr:colOff>584200</xdr:colOff>
          <xdr:row>33</xdr:row>
          <xdr:rowOff>0</xdr:rowOff>
        </xdr:to>
        <xdr:sp macro="" textlink="">
          <xdr:nvSpPr>
            <xdr:cNvPr id="11286" name="Check Box 22" hidden="1">
              <a:extLst>
                <a:ext uri="{63B3BB69-23CF-44E3-9099-C40C66FF867C}">
                  <a14:compatExt spid="_x0000_s11286"/>
                </a:ext>
                <a:ext uri="{FF2B5EF4-FFF2-40B4-BE49-F238E27FC236}">
                  <a16:creationId xmlns:a16="http://schemas.microsoft.com/office/drawing/2014/main" id="{00000000-0008-0000-0300-00001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33</xdr:row>
          <xdr:rowOff>0</xdr:rowOff>
        </xdr:from>
        <xdr:to>
          <xdr:col>1</xdr:col>
          <xdr:colOff>584200</xdr:colOff>
          <xdr:row>33</xdr:row>
          <xdr:rowOff>190500</xdr:rowOff>
        </xdr:to>
        <xdr:sp macro="" textlink="">
          <xdr:nvSpPr>
            <xdr:cNvPr id="11287" name="Check Box 23" hidden="1">
              <a:extLst>
                <a:ext uri="{63B3BB69-23CF-44E3-9099-C40C66FF867C}">
                  <a14:compatExt spid="_x0000_s11287"/>
                </a:ext>
                <a:ext uri="{FF2B5EF4-FFF2-40B4-BE49-F238E27FC236}">
                  <a16:creationId xmlns:a16="http://schemas.microsoft.com/office/drawing/2014/main" id="{00000000-0008-0000-0300-00001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35</xdr:row>
          <xdr:rowOff>0</xdr:rowOff>
        </xdr:from>
        <xdr:to>
          <xdr:col>1</xdr:col>
          <xdr:colOff>584200</xdr:colOff>
          <xdr:row>36</xdr:row>
          <xdr:rowOff>0</xdr:rowOff>
        </xdr:to>
        <xdr:sp macro="" textlink="">
          <xdr:nvSpPr>
            <xdr:cNvPr id="11288" name="Check Box 24" hidden="1">
              <a:extLst>
                <a:ext uri="{63B3BB69-23CF-44E3-9099-C40C66FF867C}">
                  <a14:compatExt spid="_x0000_s11288"/>
                </a:ext>
                <a:ext uri="{FF2B5EF4-FFF2-40B4-BE49-F238E27FC236}">
                  <a16:creationId xmlns:a16="http://schemas.microsoft.com/office/drawing/2014/main" id="{00000000-0008-0000-0300-00001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36</xdr:row>
          <xdr:rowOff>0</xdr:rowOff>
        </xdr:from>
        <xdr:to>
          <xdr:col>1</xdr:col>
          <xdr:colOff>584200</xdr:colOff>
          <xdr:row>37</xdr:row>
          <xdr:rowOff>0</xdr:rowOff>
        </xdr:to>
        <xdr:sp macro="" textlink="">
          <xdr:nvSpPr>
            <xdr:cNvPr id="11289" name="Check Box 25" hidden="1">
              <a:extLst>
                <a:ext uri="{63B3BB69-23CF-44E3-9099-C40C66FF867C}">
                  <a14:compatExt spid="_x0000_s11289"/>
                </a:ext>
                <a:ext uri="{FF2B5EF4-FFF2-40B4-BE49-F238E27FC236}">
                  <a16:creationId xmlns:a16="http://schemas.microsoft.com/office/drawing/2014/main" id="{00000000-0008-0000-0300-00001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xdr:twoCellAnchor editAs="oneCell">
    <xdr:from>
      <xdr:col>0</xdr:col>
      <xdr:colOff>161925</xdr:colOff>
      <xdr:row>0</xdr:row>
      <xdr:rowOff>66675</xdr:rowOff>
    </xdr:from>
    <xdr:to>
      <xdr:col>0</xdr:col>
      <xdr:colOff>1601470</xdr:colOff>
      <xdr:row>1</xdr:row>
      <xdr:rowOff>747</xdr:rowOff>
    </xdr:to>
    <xdr:pic>
      <xdr:nvPicPr>
        <xdr:cNvPr id="3" name="Picture 1" descr="BSL_Hippy_CMYK_300dpi.jpg">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1" cstate="print"/>
        <a:srcRect l="11454"/>
        <a:stretch>
          <a:fillRect/>
        </a:stretch>
      </xdr:blipFill>
      <xdr:spPr>
        <a:xfrm>
          <a:off x="161925" y="66675"/>
          <a:ext cx="1439545" cy="877047"/>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31750</xdr:colOff>
          <xdr:row>38</xdr:row>
          <xdr:rowOff>0</xdr:rowOff>
        </xdr:from>
        <xdr:to>
          <xdr:col>1</xdr:col>
          <xdr:colOff>584200</xdr:colOff>
          <xdr:row>38</xdr:row>
          <xdr:rowOff>190500</xdr:rowOff>
        </xdr:to>
        <xdr:sp macro="" textlink="">
          <xdr:nvSpPr>
            <xdr:cNvPr id="11290" name="Check Box 26" hidden="1">
              <a:extLst>
                <a:ext uri="{63B3BB69-23CF-44E3-9099-C40C66FF867C}">
                  <a14:compatExt spid="_x0000_s11290"/>
                </a:ext>
                <a:ext uri="{FF2B5EF4-FFF2-40B4-BE49-F238E27FC236}">
                  <a16:creationId xmlns:a16="http://schemas.microsoft.com/office/drawing/2014/main" id="{00000000-0008-0000-0300-00001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19</xdr:row>
          <xdr:rowOff>0</xdr:rowOff>
        </xdr:from>
        <xdr:to>
          <xdr:col>1</xdr:col>
          <xdr:colOff>584200</xdr:colOff>
          <xdr:row>20</xdr:row>
          <xdr:rowOff>0</xdr:rowOff>
        </xdr:to>
        <xdr:sp macro="" textlink="">
          <xdr:nvSpPr>
            <xdr:cNvPr id="11291" name="Check Box 27" hidden="1">
              <a:extLst>
                <a:ext uri="{63B3BB69-23CF-44E3-9099-C40C66FF867C}">
                  <a14:compatExt spid="_x0000_s11291"/>
                </a:ext>
                <a:ext uri="{FF2B5EF4-FFF2-40B4-BE49-F238E27FC236}">
                  <a16:creationId xmlns:a16="http://schemas.microsoft.com/office/drawing/2014/main" id="{00000000-0008-0000-0300-00001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7</xdr:row>
          <xdr:rowOff>0</xdr:rowOff>
        </xdr:from>
        <xdr:to>
          <xdr:col>1</xdr:col>
          <xdr:colOff>584200</xdr:colOff>
          <xdr:row>8</xdr:row>
          <xdr:rowOff>0</xdr:rowOff>
        </xdr:to>
        <xdr:sp macro="" textlink="">
          <xdr:nvSpPr>
            <xdr:cNvPr id="11292" name="Check Box 28" hidden="1">
              <a:extLst>
                <a:ext uri="{63B3BB69-23CF-44E3-9099-C40C66FF867C}">
                  <a14:compatExt spid="_x0000_s11292"/>
                </a:ext>
                <a:ext uri="{FF2B5EF4-FFF2-40B4-BE49-F238E27FC236}">
                  <a16:creationId xmlns:a16="http://schemas.microsoft.com/office/drawing/2014/main" id="{00000000-0008-0000-0300-00001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8</xdr:row>
          <xdr:rowOff>0</xdr:rowOff>
        </xdr:from>
        <xdr:to>
          <xdr:col>1</xdr:col>
          <xdr:colOff>584200</xdr:colOff>
          <xdr:row>9</xdr:row>
          <xdr:rowOff>0</xdr:rowOff>
        </xdr:to>
        <xdr:sp macro="" textlink="">
          <xdr:nvSpPr>
            <xdr:cNvPr id="11293" name="Check Box 29" hidden="1">
              <a:extLst>
                <a:ext uri="{63B3BB69-23CF-44E3-9099-C40C66FF867C}">
                  <a14:compatExt spid="_x0000_s11293"/>
                </a:ext>
                <a:ext uri="{FF2B5EF4-FFF2-40B4-BE49-F238E27FC236}">
                  <a16:creationId xmlns:a16="http://schemas.microsoft.com/office/drawing/2014/main" id="{00000000-0008-0000-0300-00001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9</xdr:row>
          <xdr:rowOff>0</xdr:rowOff>
        </xdr:from>
        <xdr:to>
          <xdr:col>1</xdr:col>
          <xdr:colOff>584200</xdr:colOff>
          <xdr:row>10</xdr:row>
          <xdr:rowOff>0</xdr:rowOff>
        </xdr:to>
        <xdr:sp macro="" textlink="">
          <xdr:nvSpPr>
            <xdr:cNvPr id="11294" name="Check Box 30" hidden="1">
              <a:extLst>
                <a:ext uri="{63B3BB69-23CF-44E3-9099-C40C66FF867C}">
                  <a14:compatExt spid="_x0000_s11294"/>
                </a:ext>
                <a:ext uri="{FF2B5EF4-FFF2-40B4-BE49-F238E27FC236}">
                  <a16:creationId xmlns:a16="http://schemas.microsoft.com/office/drawing/2014/main" id="{00000000-0008-0000-0300-00001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13</xdr:row>
          <xdr:rowOff>0</xdr:rowOff>
        </xdr:from>
        <xdr:to>
          <xdr:col>1</xdr:col>
          <xdr:colOff>584200</xdr:colOff>
          <xdr:row>14</xdr:row>
          <xdr:rowOff>0</xdr:rowOff>
        </xdr:to>
        <xdr:sp macro="" textlink="">
          <xdr:nvSpPr>
            <xdr:cNvPr id="11296" name="Check Box 32" hidden="1">
              <a:extLst>
                <a:ext uri="{63B3BB69-23CF-44E3-9099-C40C66FF867C}">
                  <a14:compatExt spid="_x0000_s11296"/>
                </a:ext>
                <a:ext uri="{FF2B5EF4-FFF2-40B4-BE49-F238E27FC236}">
                  <a16:creationId xmlns:a16="http://schemas.microsoft.com/office/drawing/2014/main" id="{00000000-0008-0000-0300-00002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14</xdr:row>
          <xdr:rowOff>0</xdr:rowOff>
        </xdr:from>
        <xdr:to>
          <xdr:col>1</xdr:col>
          <xdr:colOff>584200</xdr:colOff>
          <xdr:row>15</xdr:row>
          <xdr:rowOff>0</xdr:rowOff>
        </xdr:to>
        <xdr:sp macro="" textlink="">
          <xdr:nvSpPr>
            <xdr:cNvPr id="11297" name="Check Box 33" hidden="1">
              <a:extLst>
                <a:ext uri="{63B3BB69-23CF-44E3-9099-C40C66FF867C}">
                  <a14:compatExt spid="_x0000_s11297"/>
                </a:ext>
                <a:ext uri="{FF2B5EF4-FFF2-40B4-BE49-F238E27FC236}">
                  <a16:creationId xmlns:a16="http://schemas.microsoft.com/office/drawing/2014/main" id="{00000000-0008-0000-0300-00002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15</xdr:row>
          <xdr:rowOff>0</xdr:rowOff>
        </xdr:from>
        <xdr:to>
          <xdr:col>1</xdr:col>
          <xdr:colOff>584200</xdr:colOff>
          <xdr:row>16</xdr:row>
          <xdr:rowOff>0</xdr:rowOff>
        </xdr:to>
        <xdr:sp macro="" textlink="">
          <xdr:nvSpPr>
            <xdr:cNvPr id="11298" name="Check Box 34" hidden="1">
              <a:extLst>
                <a:ext uri="{63B3BB69-23CF-44E3-9099-C40C66FF867C}">
                  <a14:compatExt spid="_x0000_s11298"/>
                </a:ext>
                <a:ext uri="{FF2B5EF4-FFF2-40B4-BE49-F238E27FC236}">
                  <a16:creationId xmlns:a16="http://schemas.microsoft.com/office/drawing/2014/main" id="{00000000-0008-0000-0300-00002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15</xdr:row>
          <xdr:rowOff>0</xdr:rowOff>
        </xdr:from>
        <xdr:to>
          <xdr:col>1</xdr:col>
          <xdr:colOff>584200</xdr:colOff>
          <xdr:row>16</xdr:row>
          <xdr:rowOff>0</xdr:rowOff>
        </xdr:to>
        <xdr:sp macro="" textlink="">
          <xdr:nvSpPr>
            <xdr:cNvPr id="11299" name="Check Box 35" hidden="1">
              <a:extLst>
                <a:ext uri="{63B3BB69-23CF-44E3-9099-C40C66FF867C}">
                  <a14:compatExt spid="_x0000_s11299"/>
                </a:ext>
                <a:ext uri="{FF2B5EF4-FFF2-40B4-BE49-F238E27FC236}">
                  <a16:creationId xmlns:a16="http://schemas.microsoft.com/office/drawing/2014/main" id="{00000000-0008-0000-0300-00002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13</xdr:row>
          <xdr:rowOff>0</xdr:rowOff>
        </xdr:from>
        <xdr:to>
          <xdr:col>1</xdr:col>
          <xdr:colOff>584200</xdr:colOff>
          <xdr:row>14</xdr:row>
          <xdr:rowOff>0</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3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14</xdr:row>
          <xdr:rowOff>0</xdr:rowOff>
        </xdr:from>
        <xdr:to>
          <xdr:col>1</xdr:col>
          <xdr:colOff>584200</xdr:colOff>
          <xdr:row>15</xdr:row>
          <xdr:rowOff>0</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3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15</xdr:row>
          <xdr:rowOff>0</xdr:rowOff>
        </xdr:from>
        <xdr:to>
          <xdr:col>1</xdr:col>
          <xdr:colOff>584200</xdr:colOff>
          <xdr:row>16</xdr:row>
          <xdr:rowOff>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3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17</xdr:row>
          <xdr:rowOff>0</xdr:rowOff>
        </xdr:from>
        <xdr:to>
          <xdr:col>1</xdr:col>
          <xdr:colOff>584200</xdr:colOff>
          <xdr:row>18</xdr:row>
          <xdr:rowOff>0</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3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17</xdr:row>
          <xdr:rowOff>0</xdr:rowOff>
        </xdr:from>
        <xdr:to>
          <xdr:col>1</xdr:col>
          <xdr:colOff>584200</xdr:colOff>
          <xdr:row>18</xdr:row>
          <xdr:rowOff>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3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17</xdr:row>
          <xdr:rowOff>0</xdr:rowOff>
        </xdr:from>
        <xdr:to>
          <xdr:col>1</xdr:col>
          <xdr:colOff>584200</xdr:colOff>
          <xdr:row>18</xdr:row>
          <xdr:rowOff>0</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3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21</xdr:row>
          <xdr:rowOff>0</xdr:rowOff>
        </xdr:from>
        <xdr:to>
          <xdr:col>1</xdr:col>
          <xdr:colOff>584200</xdr:colOff>
          <xdr:row>22</xdr:row>
          <xdr:rowOff>0</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3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21</xdr:row>
          <xdr:rowOff>0</xdr:rowOff>
        </xdr:from>
        <xdr:to>
          <xdr:col>1</xdr:col>
          <xdr:colOff>584200</xdr:colOff>
          <xdr:row>22</xdr:row>
          <xdr:rowOff>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3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23</xdr:row>
          <xdr:rowOff>0</xdr:rowOff>
        </xdr:from>
        <xdr:to>
          <xdr:col>1</xdr:col>
          <xdr:colOff>584200</xdr:colOff>
          <xdr:row>24</xdr:row>
          <xdr:rowOff>0</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3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24</xdr:row>
          <xdr:rowOff>0</xdr:rowOff>
        </xdr:from>
        <xdr:to>
          <xdr:col>1</xdr:col>
          <xdr:colOff>584200</xdr:colOff>
          <xdr:row>25</xdr:row>
          <xdr:rowOff>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3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42</xdr:row>
          <xdr:rowOff>0</xdr:rowOff>
        </xdr:from>
        <xdr:to>
          <xdr:col>1</xdr:col>
          <xdr:colOff>584200</xdr:colOff>
          <xdr:row>42</xdr:row>
          <xdr:rowOff>203200</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3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43</xdr:row>
          <xdr:rowOff>0</xdr:rowOff>
        </xdr:from>
        <xdr:to>
          <xdr:col>1</xdr:col>
          <xdr:colOff>584200</xdr:colOff>
          <xdr:row>44</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3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43</xdr:row>
          <xdr:rowOff>0</xdr:rowOff>
        </xdr:from>
        <xdr:to>
          <xdr:col>1</xdr:col>
          <xdr:colOff>584200</xdr:colOff>
          <xdr:row>44</xdr:row>
          <xdr:rowOff>0</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3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44</xdr:row>
          <xdr:rowOff>0</xdr:rowOff>
        </xdr:from>
        <xdr:to>
          <xdr:col>1</xdr:col>
          <xdr:colOff>584200</xdr:colOff>
          <xdr:row>45</xdr:row>
          <xdr:rowOff>0</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3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45</xdr:row>
          <xdr:rowOff>0</xdr:rowOff>
        </xdr:from>
        <xdr:to>
          <xdr:col>1</xdr:col>
          <xdr:colOff>584200</xdr:colOff>
          <xdr:row>45</xdr:row>
          <xdr:rowOff>203200</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3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45</xdr:row>
          <xdr:rowOff>0</xdr:rowOff>
        </xdr:from>
        <xdr:to>
          <xdr:col>1</xdr:col>
          <xdr:colOff>584200</xdr:colOff>
          <xdr:row>45</xdr:row>
          <xdr:rowOff>203200</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3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46</xdr:row>
          <xdr:rowOff>0</xdr:rowOff>
        </xdr:from>
        <xdr:to>
          <xdr:col>1</xdr:col>
          <xdr:colOff>584200</xdr:colOff>
          <xdr:row>46</xdr:row>
          <xdr:rowOff>190500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3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16</xdr:row>
          <xdr:rowOff>0</xdr:rowOff>
        </xdr:from>
        <xdr:to>
          <xdr:col>1</xdr:col>
          <xdr:colOff>584200</xdr:colOff>
          <xdr:row>17</xdr:row>
          <xdr:rowOff>0</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3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16</xdr:row>
          <xdr:rowOff>0</xdr:rowOff>
        </xdr:from>
        <xdr:to>
          <xdr:col>1</xdr:col>
          <xdr:colOff>584200</xdr:colOff>
          <xdr:row>17</xdr:row>
          <xdr:rowOff>0</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3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16</xdr:row>
          <xdr:rowOff>0</xdr:rowOff>
        </xdr:from>
        <xdr:to>
          <xdr:col>1</xdr:col>
          <xdr:colOff>584200</xdr:colOff>
          <xdr:row>17</xdr:row>
          <xdr:rowOff>0</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3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31</xdr:row>
          <xdr:rowOff>0</xdr:rowOff>
        </xdr:from>
        <xdr:to>
          <xdr:col>1</xdr:col>
          <xdr:colOff>584200</xdr:colOff>
          <xdr:row>32</xdr:row>
          <xdr:rowOff>0</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3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31</xdr:row>
          <xdr:rowOff>0</xdr:rowOff>
        </xdr:from>
        <xdr:to>
          <xdr:col>1</xdr:col>
          <xdr:colOff>584200</xdr:colOff>
          <xdr:row>32</xdr:row>
          <xdr:rowOff>0</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3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31</xdr:row>
          <xdr:rowOff>0</xdr:rowOff>
        </xdr:from>
        <xdr:to>
          <xdr:col>1</xdr:col>
          <xdr:colOff>584200</xdr:colOff>
          <xdr:row>32</xdr:row>
          <xdr:rowOff>0</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3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AU" sz="800" b="0" i="0" u="none" strike="noStrike" baseline="0">
                  <a:solidFill>
                    <a:srgbClr val="000000"/>
                  </a:solidFill>
                  <a:latin typeface="Segoe UI"/>
                  <a:cs typeface="Segoe UI"/>
                </a:rPr>
                <a:t>Done</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123825</xdr:colOff>
      <xdr:row>0</xdr:row>
      <xdr:rowOff>0</xdr:rowOff>
    </xdr:from>
    <xdr:to>
      <xdr:col>0</xdr:col>
      <xdr:colOff>1563370</xdr:colOff>
      <xdr:row>0</xdr:row>
      <xdr:rowOff>875926</xdr:rowOff>
    </xdr:to>
    <xdr:pic>
      <xdr:nvPicPr>
        <xdr:cNvPr id="2" name="Picture 1" descr="BSL_Hippy_CMYK_300dpi.jpg">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srcRect l="11454"/>
        <a:stretch>
          <a:fillRect/>
        </a:stretch>
      </xdr:blipFill>
      <xdr:spPr>
        <a:xfrm>
          <a:off x="123825" y="0"/>
          <a:ext cx="1439545" cy="87592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123825</xdr:colOff>
      <xdr:row>0</xdr:row>
      <xdr:rowOff>66675</xdr:rowOff>
    </xdr:from>
    <xdr:to>
      <xdr:col>0</xdr:col>
      <xdr:colOff>1563370</xdr:colOff>
      <xdr:row>0</xdr:row>
      <xdr:rowOff>939800</xdr:rowOff>
    </xdr:to>
    <xdr:pic>
      <xdr:nvPicPr>
        <xdr:cNvPr id="2" name="Picture 1" descr="BSL_Hippy_CMYK_300dpi.jpg">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srcRect l="11454"/>
        <a:stretch>
          <a:fillRect/>
        </a:stretch>
      </xdr:blipFill>
      <xdr:spPr>
        <a:xfrm>
          <a:off x="123825" y="66675"/>
          <a:ext cx="1439545" cy="8731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123825</xdr:colOff>
      <xdr:row>0</xdr:row>
      <xdr:rowOff>0</xdr:rowOff>
    </xdr:from>
    <xdr:to>
      <xdr:col>0</xdr:col>
      <xdr:colOff>1563370</xdr:colOff>
      <xdr:row>0</xdr:row>
      <xdr:rowOff>875926</xdr:rowOff>
    </xdr:to>
    <xdr:pic>
      <xdr:nvPicPr>
        <xdr:cNvPr id="2" name="Picture 1" descr="BSL_Hippy_CMYK_300dpi.jpg">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cstate="print"/>
        <a:srcRect l="11454"/>
        <a:stretch>
          <a:fillRect/>
        </a:stretch>
      </xdr:blipFill>
      <xdr:spPr>
        <a:xfrm>
          <a:off x="123825" y="66675"/>
          <a:ext cx="1439545" cy="87312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123825</xdr:colOff>
      <xdr:row>0</xdr:row>
      <xdr:rowOff>0</xdr:rowOff>
    </xdr:from>
    <xdr:to>
      <xdr:col>0</xdr:col>
      <xdr:colOff>1563370</xdr:colOff>
      <xdr:row>0</xdr:row>
      <xdr:rowOff>877047</xdr:rowOff>
    </xdr:to>
    <xdr:pic>
      <xdr:nvPicPr>
        <xdr:cNvPr id="2" name="Picture 1" descr="BSL_Hippy_CMYK_300dpi.jpg">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cstate="print"/>
        <a:srcRect l="11454"/>
        <a:stretch>
          <a:fillRect/>
        </a:stretch>
      </xdr:blipFill>
      <xdr:spPr>
        <a:xfrm>
          <a:off x="123825" y="0"/>
          <a:ext cx="1439545" cy="87704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123825</xdr:colOff>
      <xdr:row>0</xdr:row>
      <xdr:rowOff>66675</xdr:rowOff>
    </xdr:from>
    <xdr:to>
      <xdr:col>0</xdr:col>
      <xdr:colOff>1563370</xdr:colOff>
      <xdr:row>0</xdr:row>
      <xdr:rowOff>942975</xdr:rowOff>
    </xdr:to>
    <xdr:pic>
      <xdr:nvPicPr>
        <xdr:cNvPr id="2" name="Picture 1" descr="BSL_Hippy_CMYK_300dpi.jpg">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1" cstate="print"/>
        <a:srcRect l="11454"/>
        <a:stretch>
          <a:fillRect/>
        </a:stretch>
      </xdr:blipFill>
      <xdr:spPr>
        <a:xfrm>
          <a:off x="123825" y="66675"/>
          <a:ext cx="1439545" cy="8731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123825</xdr:colOff>
      <xdr:row>0</xdr:row>
      <xdr:rowOff>66675</xdr:rowOff>
    </xdr:from>
    <xdr:to>
      <xdr:col>0</xdr:col>
      <xdr:colOff>1563370</xdr:colOff>
      <xdr:row>0</xdr:row>
      <xdr:rowOff>942975</xdr:rowOff>
    </xdr:to>
    <xdr:pic>
      <xdr:nvPicPr>
        <xdr:cNvPr id="2" name="Picture 1" descr="BSL_Hippy_CMYK_300dpi.jpg">
          <a:extLst>
            <a:ext uri="{FF2B5EF4-FFF2-40B4-BE49-F238E27FC236}">
              <a16:creationId xmlns:a16="http://schemas.microsoft.com/office/drawing/2014/main" id="{8F0B9C7F-E3AD-4FCF-AE2C-42E448368312}"/>
            </a:ext>
          </a:extLst>
        </xdr:cNvPr>
        <xdr:cNvPicPr/>
      </xdr:nvPicPr>
      <xdr:blipFill>
        <a:blip xmlns:r="http://schemas.openxmlformats.org/officeDocument/2006/relationships" r:embed="rId1" cstate="print"/>
        <a:srcRect l="11454"/>
        <a:stretch>
          <a:fillRect/>
        </a:stretch>
      </xdr:blipFill>
      <xdr:spPr>
        <a:xfrm>
          <a:off x="120650" y="63500"/>
          <a:ext cx="1442720" cy="87630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calculate.fairwork.gov.au/payguides/fairwork/ma000100/docx" TargetMode="External"/></Relationships>
</file>

<file path=xl/worksheets/_rels/sheet16.xml.rels><?xml version="1.0" encoding="UTF-8" standalone="yes"?>
<Relationships xmlns="http://schemas.openxmlformats.org/package/2006/relationships"><Relationship Id="rId1" Type="http://schemas.openxmlformats.org/officeDocument/2006/relationships/hyperlink" Target="https://awards.fairwork.gov.au/MA000120.html" TargetMode="Externa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4.xml"/><Relationship Id="rId1" Type="http://schemas.openxmlformats.org/officeDocument/2006/relationships/printerSettings" Target="../printerSettings/printerSettings16.bin"/><Relationship Id="rId4" Type="http://schemas.openxmlformats.org/officeDocument/2006/relationships/comments" Target="../comments2.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32.xml"/><Relationship Id="rId18" Type="http://schemas.openxmlformats.org/officeDocument/2006/relationships/ctrlProp" Target="../ctrlProps/ctrlProp37.xml"/><Relationship Id="rId26" Type="http://schemas.openxmlformats.org/officeDocument/2006/relationships/ctrlProp" Target="../ctrlProps/ctrlProp45.xml"/><Relationship Id="rId39" Type="http://schemas.openxmlformats.org/officeDocument/2006/relationships/ctrlProp" Target="../ctrlProps/ctrlProp58.xml"/><Relationship Id="rId21" Type="http://schemas.openxmlformats.org/officeDocument/2006/relationships/ctrlProp" Target="../ctrlProps/ctrlProp40.xml"/><Relationship Id="rId34" Type="http://schemas.openxmlformats.org/officeDocument/2006/relationships/ctrlProp" Target="../ctrlProps/ctrlProp53.xml"/><Relationship Id="rId42" Type="http://schemas.openxmlformats.org/officeDocument/2006/relationships/ctrlProp" Target="../ctrlProps/ctrlProp61.xml"/><Relationship Id="rId47" Type="http://schemas.openxmlformats.org/officeDocument/2006/relationships/ctrlProp" Target="../ctrlProps/ctrlProp66.xml"/><Relationship Id="rId50" Type="http://schemas.openxmlformats.org/officeDocument/2006/relationships/ctrlProp" Target="../ctrlProps/ctrlProp69.xml"/><Relationship Id="rId55" Type="http://schemas.openxmlformats.org/officeDocument/2006/relationships/ctrlProp" Target="../ctrlProps/ctrlProp74.xml"/><Relationship Id="rId7" Type="http://schemas.openxmlformats.org/officeDocument/2006/relationships/ctrlProp" Target="../ctrlProps/ctrlProp26.xml"/><Relationship Id="rId2" Type="http://schemas.openxmlformats.org/officeDocument/2006/relationships/drawing" Target="../drawings/drawing3.xml"/><Relationship Id="rId16" Type="http://schemas.openxmlformats.org/officeDocument/2006/relationships/ctrlProp" Target="../ctrlProps/ctrlProp35.xml"/><Relationship Id="rId29" Type="http://schemas.openxmlformats.org/officeDocument/2006/relationships/ctrlProp" Target="../ctrlProps/ctrlProp48.xml"/><Relationship Id="rId11" Type="http://schemas.openxmlformats.org/officeDocument/2006/relationships/ctrlProp" Target="../ctrlProps/ctrlProp30.xml"/><Relationship Id="rId24" Type="http://schemas.openxmlformats.org/officeDocument/2006/relationships/ctrlProp" Target="../ctrlProps/ctrlProp43.xml"/><Relationship Id="rId32" Type="http://schemas.openxmlformats.org/officeDocument/2006/relationships/ctrlProp" Target="../ctrlProps/ctrlProp51.xml"/><Relationship Id="rId37" Type="http://schemas.openxmlformats.org/officeDocument/2006/relationships/ctrlProp" Target="../ctrlProps/ctrlProp56.xml"/><Relationship Id="rId40" Type="http://schemas.openxmlformats.org/officeDocument/2006/relationships/ctrlProp" Target="../ctrlProps/ctrlProp59.xml"/><Relationship Id="rId45" Type="http://schemas.openxmlformats.org/officeDocument/2006/relationships/ctrlProp" Target="../ctrlProps/ctrlProp64.xml"/><Relationship Id="rId53" Type="http://schemas.openxmlformats.org/officeDocument/2006/relationships/ctrlProp" Target="../ctrlProps/ctrlProp72.xml"/><Relationship Id="rId5" Type="http://schemas.openxmlformats.org/officeDocument/2006/relationships/ctrlProp" Target="../ctrlProps/ctrlProp24.xml"/><Relationship Id="rId10" Type="http://schemas.openxmlformats.org/officeDocument/2006/relationships/ctrlProp" Target="../ctrlProps/ctrlProp29.xml"/><Relationship Id="rId19" Type="http://schemas.openxmlformats.org/officeDocument/2006/relationships/ctrlProp" Target="../ctrlProps/ctrlProp38.xml"/><Relationship Id="rId31" Type="http://schemas.openxmlformats.org/officeDocument/2006/relationships/ctrlProp" Target="../ctrlProps/ctrlProp50.xml"/><Relationship Id="rId44" Type="http://schemas.openxmlformats.org/officeDocument/2006/relationships/ctrlProp" Target="../ctrlProps/ctrlProp63.xml"/><Relationship Id="rId52" Type="http://schemas.openxmlformats.org/officeDocument/2006/relationships/ctrlProp" Target="../ctrlProps/ctrlProp71.xml"/><Relationship Id="rId4" Type="http://schemas.openxmlformats.org/officeDocument/2006/relationships/ctrlProp" Target="../ctrlProps/ctrlProp23.xml"/><Relationship Id="rId9" Type="http://schemas.openxmlformats.org/officeDocument/2006/relationships/ctrlProp" Target="../ctrlProps/ctrlProp28.xml"/><Relationship Id="rId14" Type="http://schemas.openxmlformats.org/officeDocument/2006/relationships/ctrlProp" Target="../ctrlProps/ctrlProp33.xml"/><Relationship Id="rId22" Type="http://schemas.openxmlformats.org/officeDocument/2006/relationships/ctrlProp" Target="../ctrlProps/ctrlProp41.xml"/><Relationship Id="rId27" Type="http://schemas.openxmlformats.org/officeDocument/2006/relationships/ctrlProp" Target="../ctrlProps/ctrlProp46.xml"/><Relationship Id="rId30" Type="http://schemas.openxmlformats.org/officeDocument/2006/relationships/ctrlProp" Target="../ctrlProps/ctrlProp49.xml"/><Relationship Id="rId35" Type="http://schemas.openxmlformats.org/officeDocument/2006/relationships/ctrlProp" Target="../ctrlProps/ctrlProp54.xml"/><Relationship Id="rId43" Type="http://schemas.openxmlformats.org/officeDocument/2006/relationships/ctrlProp" Target="../ctrlProps/ctrlProp62.xml"/><Relationship Id="rId48" Type="http://schemas.openxmlformats.org/officeDocument/2006/relationships/ctrlProp" Target="../ctrlProps/ctrlProp67.xml"/><Relationship Id="rId8" Type="http://schemas.openxmlformats.org/officeDocument/2006/relationships/ctrlProp" Target="../ctrlProps/ctrlProp27.xml"/><Relationship Id="rId51" Type="http://schemas.openxmlformats.org/officeDocument/2006/relationships/ctrlProp" Target="../ctrlProps/ctrlProp70.xml"/><Relationship Id="rId3" Type="http://schemas.openxmlformats.org/officeDocument/2006/relationships/vmlDrawing" Target="../drawings/vmlDrawing2.vml"/><Relationship Id="rId12" Type="http://schemas.openxmlformats.org/officeDocument/2006/relationships/ctrlProp" Target="../ctrlProps/ctrlProp31.xml"/><Relationship Id="rId17" Type="http://schemas.openxmlformats.org/officeDocument/2006/relationships/ctrlProp" Target="../ctrlProps/ctrlProp36.xml"/><Relationship Id="rId25" Type="http://schemas.openxmlformats.org/officeDocument/2006/relationships/ctrlProp" Target="../ctrlProps/ctrlProp44.xml"/><Relationship Id="rId33" Type="http://schemas.openxmlformats.org/officeDocument/2006/relationships/ctrlProp" Target="../ctrlProps/ctrlProp52.xml"/><Relationship Id="rId38" Type="http://schemas.openxmlformats.org/officeDocument/2006/relationships/ctrlProp" Target="../ctrlProps/ctrlProp57.xml"/><Relationship Id="rId46" Type="http://schemas.openxmlformats.org/officeDocument/2006/relationships/ctrlProp" Target="../ctrlProps/ctrlProp65.xml"/><Relationship Id="rId20" Type="http://schemas.openxmlformats.org/officeDocument/2006/relationships/ctrlProp" Target="../ctrlProps/ctrlProp39.xml"/><Relationship Id="rId41" Type="http://schemas.openxmlformats.org/officeDocument/2006/relationships/ctrlProp" Target="../ctrlProps/ctrlProp60.xml"/><Relationship Id="rId54" Type="http://schemas.openxmlformats.org/officeDocument/2006/relationships/ctrlProp" Target="../ctrlProps/ctrlProp73.xml"/><Relationship Id="rId1" Type="http://schemas.openxmlformats.org/officeDocument/2006/relationships/printerSettings" Target="../printerSettings/printerSettings3.bin"/><Relationship Id="rId6" Type="http://schemas.openxmlformats.org/officeDocument/2006/relationships/ctrlProp" Target="../ctrlProps/ctrlProp25.xml"/><Relationship Id="rId15" Type="http://schemas.openxmlformats.org/officeDocument/2006/relationships/ctrlProp" Target="../ctrlProps/ctrlProp34.xml"/><Relationship Id="rId23" Type="http://schemas.openxmlformats.org/officeDocument/2006/relationships/ctrlProp" Target="../ctrlProps/ctrlProp42.xml"/><Relationship Id="rId28" Type="http://schemas.openxmlformats.org/officeDocument/2006/relationships/ctrlProp" Target="../ctrlProps/ctrlProp47.xml"/><Relationship Id="rId36" Type="http://schemas.openxmlformats.org/officeDocument/2006/relationships/ctrlProp" Target="../ctrlProps/ctrlProp55.xml"/><Relationship Id="rId49" Type="http://schemas.openxmlformats.org/officeDocument/2006/relationships/ctrlProp" Target="../ctrlProps/ctrlProp68.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151AB-2B19-4AA8-8649-AE371E7F4848}">
  <sheetPr codeName="Sheet2"/>
  <dimension ref="A1:D10"/>
  <sheetViews>
    <sheetView workbookViewId="0"/>
  </sheetViews>
  <sheetFormatPr defaultRowHeight="14.45"/>
  <sheetData>
    <row r="1" spans="1:4">
      <c r="A1" s="119" t="s">
        <v>0</v>
      </c>
    </row>
    <row r="2" spans="1:4">
      <c r="A2" t="s">
        <v>1</v>
      </c>
    </row>
    <row r="3" spans="1:4">
      <c r="A3" t="s">
        <v>2</v>
      </c>
    </row>
    <row r="4" spans="1:4">
      <c r="A4" t="s">
        <v>3</v>
      </c>
    </row>
    <row r="5" spans="1:4">
      <c r="A5" t="s">
        <v>4</v>
      </c>
    </row>
    <row r="6" spans="1:4">
      <c r="A6" t="s">
        <v>5</v>
      </c>
    </row>
    <row r="7" spans="1:4">
      <c r="A7" s="40" t="s">
        <v>6</v>
      </c>
      <c r="B7" s="40"/>
      <c r="C7" s="40"/>
      <c r="D7" s="40"/>
    </row>
    <row r="8" spans="1:4">
      <c r="A8" s="119" t="s">
        <v>7</v>
      </c>
    </row>
    <row r="9" spans="1:4">
      <c r="A9" s="40" t="s">
        <v>8</v>
      </c>
      <c r="B9" s="40"/>
    </row>
    <row r="10" spans="1:4">
      <c r="A10" s="40" t="s">
        <v>9</v>
      </c>
      <c r="B10" s="40"/>
    </row>
  </sheetData>
  <pageMargins left="0.7" right="0.7" top="0.75" bottom="0.75" header="0.3" footer="0.3"/>
  <headerFooter>
    <oddHeader>&amp;L&amp;"Calibri"&amp;12&amp;K000000 OFFICIAL&amp;1#_x000D_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35EF4-FC8B-4623-8F46-F6659C997776}">
  <sheetPr>
    <tabColor theme="5" tint="-0.249977111117893"/>
  </sheetPr>
  <dimension ref="A1:AL79"/>
  <sheetViews>
    <sheetView topLeftCell="I1" workbookViewId="0">
      <selection activeCell="Z70" sqref="Z70"/>
    </sheetView>
  </sheetViews>
  <sheetFormatPr defaultColWidth="9.140625" defaultRowHeight="14.45"/>
  <cols>
    <col min="1" max="1" width="42" style="3" customWidth="1"/>
    <col min="2" max="2" width="20.140625" style="3" customWidth="1"/>
    <col min="3" max="3" width="40.42578125" style="3" customWidth="1"/>
    <col min="4" max="4" width="19.42578125" style="3" customWidth="1"/>
    <col min="5" max="5" width="20" style="3" customWidth="1"/>
    <col min="6" max="30" width="9.140625" style="3"/>
    <col min="31" max="31" width="12.28515625" style="3" bestFit="1" customWidth="1"/>
    <col min="32" max="35" width="9.140625" style="3"/>
    <col min="36" max="36" width="9.140625" style="3" hidden="1" customWidth="1"/>
    <col min="37" max="37" width="9.140625" style="342" hidden="1" customWidth="1"/>
    <col min="38" max="38" width="9.140625" style="3" hidden="1" customWidth="1"/>
    <col min="39" max="16384" width="9.140625" style="3"/>
  </cols>
  <sheetData>
    <row r="1" spans="1:5" ht="75" customHeight="1">
      <c r="B1" s="448" t="s">
        <v>166</v>
      </c>
      <c r="C1" s="448"/>
      <c r="D1" s="448"/>
      <c r="E1" s="448"/>
    </row>
    <row r="3" spans="1:5">
      <c r="B3" s="143" t="s">
        <v>78</v>
      </c>
    </row>
    <row r="4" spans="1:5">
      <c r="B4" s="144" t="s">
        <v>167</v>
      </c>
    </row>
    <row r="5" spans="1:5">
      <c r="B5" s="361" t="s">
        <v>80</v>
      </c>
    </row>
    <row r="7" spans="1:5" ht="15">
      <c r="A7" s="286" t="s">
        <v>81</v>
      </c>
      <c r="B7" s="527"/>
      <c r="C7" s="527"/>
      <c r="D7" s="527"/>
      <c r="E7" s="287"/>
    </row>
    <row r="8" spans="1:5" ht="15">
      <c r="A8" s="286" t="s">
        <v>119</v>
      </c>
      <c r="B8" s="288" t="s">
        <v>171</v>
      </c>
      <c r="C8" s="289"/>
      <c r="D8" s="289"/>
      <c r="E8" s="289"/>
    </row>
    <row r="9" spans="1:5" ht="15" thickBot="1">
      <c r="A9" s="285"/>
      <c r="B9" s="285"/>
      <c r="C9" s="285"/>
      <c r="D9" s="285"/>
      <c r="E9" s="285"/>
    </row>
    <row r="10" spans="1:5" ht="30.95">
      <c r="A10" s="290" t="s">
        <v>84</v>
      </c>
      <c r="B10" s="321" t="s">
        <v>154</v>
      </c>
      <c r="C10" s="528" t="s">
        <v>145</v>
      </c>
      <c r="D10" s="529"/>
      <c r="E10" s="285"/>
    </row>
    <row r="11" spans="1:5" ht="15.6">
      <c r="A11" s="514" t="s">
        <v>123</v>
      </c>
      <c r="B11" s="515"/>
      <c r="C11" s="515"/>
      <c r="D11" s="515"/>
      <c r="E11" s="285"/>
    </row>
    <row r="12" spans="1:5" ht="15.95" thickBot="1">
      <c r="A12" s="293" t="s">
        <v>91</v>
      </c>
      <c r="B12" s="220">
        <v>0</v>
      </c>
      <c r="C12" s="525"/>
      <c r="D12" s="526"/>
      <c r="E12" s="285"/>
    </row>
    <row r="13" spans="1:5" ht="15.95" thickBot="1">
      <c r="A13" s="293" t="s">
        <v>93</v>
      </c>
      <c r="B13" s="220">
        <v>0</v>
      </c>
      <c r="C13" s="498"/>
      <c r="D13" s="511"/>
      <c r="E13" s="285"/>
    </row>
    <row r="14" spans="1:5" ht="15.95" thickBot="1">
      <c r="A14" s="294" t="s">
        <v>94</v>
      </c>
      <c r="B14" s="295">
        <f>SUM(B12:B13)</f>
        <v>0</v>
      </c>
      <c r="C14" s="512"/>
      <c r="D14" s="513"/>
      <c r="E14" s="285"/>
    </row>
    <row r="15" spans="1:5" ht="15.75" customHeight="1">
      <c r="A15" s="514" t="s">
        <v>95</v>
      </c>
      <c r="B15" s="515"/>
      <c r="C15" s="515"/>
      <c r="D15" s="515"/>
      <c r="E15" s="285"/>
    </row>
    <row r="16" spans="1:5" ht="15.95" thickBot="1">
      <c r="A16" s="293" t="s">
        <v>97</v>
      </c>
      <c r="B16" s="217">
        <v>0</v>
      </c>
      <c r="C16" s="516"/>
      <c r="D16" s="517"/>
      <c r="E16" s="285"/>
    </row>
    <row r="17" spans="1:5" ht="15.95" thickBot="1">
      <c r="A17" s="293" t="s">
        <v>98</v>
      </c>
      <c r="B17" s="217">
        <v>0</v>
      </c>
      <c r="C17" s="500"/>
      <c r="D17" s="518"/>
      <c r="E17" s="285"/>
    </row>
    <row r="18" spans="1:5" ht="15.95" thickBot="1">
      <c r="A18" s="293" t="s">
        <v>99</v>
      </c>
      <c r="B18" s="217">
        <f>D49</f>
        <v>0</v>
      </c>
      <c r="C18" s="500"/>
      <c r="D18" s="518"/>
      <c r="E18" s="285"/>
    </row>
    <row r="19" spans="1:5" ht="15.95" thickBot="1">
      <c r="A19" s="293" t="s">
        <v>100</v>
      </c>
      <c r="B19" s="217">
        <v>0</v>
      </c>
      <c r="C19" s="500"/>
      <c r="D19" s="518"/>
      <c r="E19" s="285"/>
    </row>
    <row r="20" spans="1:5" ht="15.6">
      <c r="A20" s="294" t="s">
        <v>101</v>
      </c>
      <c r="B20" s="295">
        <f>SUM(B16:B19)</f>
        <v>0</v>
      </c>
      <c r="C20" s="519"/>
      <c r="D20" s="520"/>
      <c r="E20" s="285"/>
    </row>
    <row r="21" spans="1:5" ht="16.5" customHeight="1">
      <c r="A21" s="521" t="s">
        <v>102</v>
      </c>
      <c r="B21" s="522"/>
      <c r="C21" s="522"/>
      <c r="D21" s="522"/>
      <c r="E21" s="285"/>
    </row>
    <row r="22" spans="1:5" ht="15.95" thickBot="1">
      <c r="A22" s="293" t="s">
        <v>103</v>
      </c>
      <c r="B22" s="217">
        <v>0</v>
      </c>
      <c r="C22" s="523"/>
      <c r="D22" s="524"/>
      <c r="E22" s="285"/>
    </row>
    <row r="23" spans="1:5" ht="15.95" thickBot="1">
      <c r="A23" s="293" t="s">
        <v>104</v>
      </c>
      <c r="B23" s="220">
        <v>0</v>
      </c>
      <c r="C23" s="498"/>
      <c r="D23" s="499"/>
      <c r="E23" s="285"/>
    </row>
    <row r="24" spans="1:5" ht="15.95" thickBot="1">
      <c r="A24" s="293" t="s">
        <v>105</v>
      </c>
      <c r="B24" s="220">
        <v>0</v>
      </c>
      <c r="C24" s="498"/>
      <c r="D24" s="499"/>
      <c r="E24" s="285"/>
    </row>
    <row r="25" spans="1:5" ht="15.95" thickBot="1">
      <c r="A25" s="293" t="s">
        <v>106</v>
      </c>
      <c r="B25" s="217">
        <v>0</v>
      </c>
      <c r="C25" s="496"/>
      <c r="D25" s="497"/>
      <c r="E25" s="285"/>
    </row>
    <row r="26" spans="1:5" ht="15.95" thickBot="1">
      <c r="A26" s="293" t="s">
        <v>107</v>
      </c>
      <c r="B26" s="220">
        <v>0</v>
      </c>
      <c r="C26" s="498"/>
      <c r="D26" s="499"/>
      <c r="E26" s="285"/>
    </row>
    <row r="27" spans="1:5" ht="15.95" thickBot="1">
      <c r="A27" s="293" t="s">
        <v>108</v>
      </c>
      <c r="B27" s="217">
        <v>0</v>
      </c>
      <c r="C27" s="496"/>
      <c r="D27" s="497"/>
      <c r="E27" s="285"/>
    </row>
    <row r="28" spans="1:5" ht="15.95" thickBot="1">
      <c r="A28" s="293" t="s">
        <v>109</v>
      </c>
      <c r="B28" s="217">
        <v>0</v>
      </c>
      <c r="C28" s="500"/>
      <c r="D28" s="501"/>
      <c r="E28" s="285"/>
    </row>
    <row r="29" spans="1:5" ht="15.95" thickBot="1">
      <c r="A29" s="293" t="s">
        <v>110</v>
      </c>
      <c r="B29" s="217">
        <v>0</v>
      </c>
      <c r="C29" s="500"/>
      <c r="D29" s="501"/>
      <c r="E29" s="296"/>
    </row>
    <row r="30" spans="1:5" ht="15.95" thickBot="1">
      <c r="A30" s="293" t="s">
        <v>111</v>
      </c>
      <c r="B30" s="217">
        <v>0</v>
      </c>
      <c r="C30" s="496"/>
      <c r="D30" s="497"/>
      <c r="E30" s="285"/>
    </row>
    <row r="31" spans="1:5" ht="15.95" thickBot="1">
      <c r="A31" s="293" t="s">
        <v>112</v>
      </c>
      <c r="B31" s="217">
        <v>0</v>
      </c>
      <c r="C31" s="502"/>
      <c r="D31" s="503"/>
      <c r="E31" s="296"/>
    </row>
    <row r="32" spans="1:5" ht="15.95" thickBot="1">
      <c r="A32" s="294" t="s">
        <v>113</v>
      </c>
      <c r="B32" s="295">
        <f>SUM(B22:B31)</f>
        <v>0</v>
      </c>
      <c r="C32" s="504"/>
      <c r="D32" s="505"/>
      <c r="E32" s="285"/>
    </row>
    <row r="33" spans="1:38" ht="15.95" thickBot="1">
      <c r="A33" s="294" t="s">
        <v>114</v>
      </c>
      <c r="B33" s="295">
        <f>SUM(B32+B20)</f>
        <v>0</v>
      </c>
      <c r="C33" s="504"/>
      <c r="D33" s="505"/>
      <c r="E33" s="285"/>
    </row>
    <row r="34" spans="1:38" ht="15.95" thickBot="1">
      <c r="A34" s="294" t="s">
        <v>115</v>
      </c>
      <c r="B34" s="295">
        <f>B14-B33</f>
        <v>0</v>
      </c>
      <c r="C34" s="506"/>
      <c r="D34" s="507"/>
      <c r="E34" s="285"/>
    </row>
    <row r="35" spans="1:38" ht="9.75" customHeight="1">
      <c r="A35" s="297"/>
      <c r="B35" s="297"/>
      <c r="C35" s="297"/>
      <c r="D35" s="297"/>
      <c r="E35" s="29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343"/>
      <c r="AL35" s="7"/>
    </row>
    <row r="36" spans="1:38" ht="24" customHeight="1">
      <c r="A36" s="508" t="s">
        <v>124</v>
      </c>
      <c r="B36" s="509"/>
      <c r="C36" s="509"/>
      <c r="D36" s="509"/>
      <c r="E36" s="510"/>
    </row>
    <row r="37" spans="1:38" ht="9.75" customHeight="1">
      <c r="A37" s="337"/>
      <c r="B37" s="337"/>
      <c r="C37" s="337"/>
      <c r="D37" s="337"/>
      <c r="E37" s="337"/>
    </row>
    <row r="38" spans="1:38" ht="15" thickBot="1">
      <c r="A38" s="297"/>
      <c r="B38" s="336" t="s">
        <v>169</v>
      </c>
      <c r="C38" s="297"/>
      <c r="D38" s="297"/>
      <c r="E38" s="297"/>
    </row>
    <row r="39" spans="1:38" ht="24" customHeight="1" thickBot="1">
      <c r="A39" s="298"/>
      <c r="B39" s="492" t="s">
        <v>125</v>
      </c>
      <c r="C39" s="493"/>
      <c r="D39" s="494" t="s">
        <v>126</v>
      </c>
      <c r="E39" s="495"/>
    </row>
    <row r="40" spans="1:38" ht="31.5" thickBot="1">
      <c r="A40" s="299" t="s">
        <v>127</v>
      </c>
      <c r="B40" s="300" t="s">
        <v>128</v>
      </c>
      <c r="C40" s="301" t="s">
        <v>129</v>
      </c>
      <c r="D40" s="302" t="s">
        <v>130</v>
      </c>
      <c r="E40" s="303" t="s">
        <v>131</v>
      </c>
    </row>
    <row r="41" spans="1:38" ht="15.95" thickBot="1">
      <c r="A41" s="304" t="s">
        <v>132</v>
      </c>
      <c r="B41" s="221"/>
      <c r="C41" s="222"/>
      <c r="D41" s="223"/>
      <c r="E41" s="224"/>
    </row>
    <row r="42" spans="1:38" ht="15.95" thickBot="1">
      <c r="A42" s="305" t="s">
        <v>133</v>
      </c>
      <c r="B42" s="221"/>
      <c r="C42" s="222"/>
      <c r="D42" s="225"/>
      <c r="E42" s="226"/>
    </row>
    <row r="43" spans="1:38" ht="15.95" thickBot="1">
      <c r="A43" s="305" t="s">
        <v>134</v>
      </c>
      <c r="B43" s="221"/>
      <c r="C43" s="222"/>
      <c r="D43" s="225"/>
      <c r="E43" s="226"/>
    </row>
    <row r="44" spans="1:38" ht="15.95" thickBot="1">
      <c r="A44" s="306" t="s">
        <v>99</v>
      </c>
      <c r="B44" s="227"/>
      <c r="C44" s="228"/>
      <c r="D44" s="229"/>
      <c r="E44" s="230"/>
    </row>
    <row r="45" spans="1:38" ht="24" customHeight="1" thickBot="1">
      <c r="A45" s="307" t="s">
        <v>135</v>
      </c>
      <c r="B45" s="486" t="s">
        <v>136</v>
      </c>
      <c r="C45" s="486"/>
      <c r="D45" s="486" t="s">
        <v>137</v>
      </c>
      <c r="E45" s="487"/>
    </row>
    <row r="46" spans="1:38" ht="15.95" thickBot="1">
      <c r="A46" s="304" t="s">
        <v>132</v>
      </c>
      <c r="B46" s="488">
        <v>0</v>
      </c>
      <c r="C46" s="489"/>
      <c r="D46" s="490">
        <f>(((_xlfn.XLOOKUP(C41,'SCHADS - 2025'!$A$6:$A$32,'SCHADS - 2025'!$C$6:$C$32,0,0))*38*52)*B46)+((_xlfn.XLOOKUP(C41,'CSA - 2025'!$A$20:$A$59,'CSA - 2025'!$C$20:$C$59,0,0)*38*52)*B46)+(E41*B46)</f>
        <v>0</v>
      </c>
      <c r="E46" s="491"/>
      <c r="AE46" s="41"/>
    </row>
    <row r="47" spans="1:38" ht="15.95" thickBot="1">
      <c r="A47" s="305" t="s">
        <v>133</v>
      </c>
      <c r="B47" s="477">
        <v>0</v>
      </c>
      <c r="C47" s="478"/>
      <c r="D47" s="479">
        <f>(((_xlfn.XLOOKUP(C42,'SCHADS - 2025'!$A$6:$A$32,'SCHADS - 2025'!$C$6:$C$32,0,0))*38*52)*B47)+((_xlfn.XLOOKUP(C42,'CSA - 2025'!$A$20:$A$59,'CSA - 2025'!$C$20:$C$59,0,0)*38*52)*B47)+(E42*B47)</f>
        <v>0</v>
      </c>
      <c r="E47" s="480"/>
    </row>
    <row r="48" spans="1:38" ht="15.95" thickBot="1">
      <c r="A48" s="305" t="s">
        <v>134</v>
      </c>
      <c r="B48" s="477">
        <v>0</v>
      </c>
      <c r="C48" s="478"/>
      <c r="D48" s="479">
        <f>(((_xlfn.XLOOKUP(C43,'SCHADS - 2025'!$A$6:$A$32,'SCHADS - 2025'!$C$6:$C$32,0,0))*38*52)*B48)+((_xlfn.XLOOKUP(C43,'CSA - 2025'!$A$20:$A$59,'CSA - 2025'!$C$20:$C$59,0,0)*38*52)*B48)+(E43*B48)</f>
        <v>0</v>
      </c>
      <c r="E48" s="480"/>
      <c r="AE48" s="41"/>
    </row>
    <row r="49" spans="1:37" ht="15.95" thickBot="1">
      <c r="A49" s="306" t="s">
        <v>99</v>
      </c>
      <c r="B49" s="481">
        <v>0</v>
      </c>
      <c r="C49" s="482"/>
      <c r="D49" s="483">
        <f>(((_xlfn.XLOOKUP(C44,'SCHADS - 2025'!$A$6:$A$32,'SCHADS - 2025'!$C$6:$C$32,0,0))*38*52)*B49)+((_xlfn.XLOOKUP(C44,'CSA - 2025'!$A$20:$A$59,'CSA - 2025'!$C$20:$C$59,0,0)*38*52)*B49)+(E44*B49)</f>
        <v>0</v>
      </c>
      <c r="E49" s="484"/>
    </row>
    <row r="50" spans="1:37" ht="24" customHeight="1" thickBot="1">
      <c r="A50" s="299" t="s">
        <v>138</v>
      </c>
      <c r="B50" s="461" t="s">
        <v>139</v>
      </c>
      <c r="C50" s="462"/>
      <c r="D50" s="462" t="s">
        <v>140</v>
      </c>
      <c r="E50" s="485"/>
    </row>
    <row r="51" spans="1:37" ht="15.95" thickBot="1">
      <c r="A51" s="304" t="s">
        <v>132</v>
      </c>
      <c r="B51" s="469"/>
      <c r="C51" s="470"/>
      <c r="D51" s="471">
        <f>D46+B51</f>
        <v>0</v>
      </c>
      <c r="E51" s="472"/>
    </row>
    <row r="52" spans="1:37" ht="15.95" thickBot="1">
      <c r="A52" s="305" t="s">
        <v>133</v>
      </c>
      <c r="B52" s="473">
        <v>0</v>
      </c>
      <c r="C52" s="474"/>
      <c r="D52" s="475">
        <f>D47+B52</f>
        <v>0</v>
      </c>
      <c r="E52" s="476"/>
    </row>
    <row r="53" spans="1:37" ht="15.95" thickBot="1">
      <c r="A53" s="305" t="s">
        <v>134</v>
      </c>
      <c r="B53" s="473">
        <v>0</v>
      </c>
      <c r="C53" s="474"/>
      <c r="D53" s="475">
        <f>D48+B53</f>
        <v>0</v>
      </c>
      <c r="E53" s="476"/>
    </row>
    <row r="54" spans="1:37" ht="15.95" thickBot="1">
      <c r="A54" s="306" t="s">
        <v>99</v>
      </c>
      <c r="B54" s="457">
        <v>0</v>
      </c>
      <c r="C54" s="458"/>
      <c r="D54" s="459">
        <f t="shared" ref="D54" si="0">D49+B54</f>
        <v>0</v>
      </c>
      <c r="E54" s="460"/>
    </row>
    <row r="55" spans="1:37" ht="24" customHeight="1" thickBot="1">
      <c r="A55" s="299" t="s">
        <v>141</v>
      </c>
      <c r="B55" s="461" t="s">
        <v>88</v>
      </c>
      <c r="C55" s="462"/>
      <c r="D55" s="462"/>
      <c r="E55" s="462"/>
    </row>
    <row r="56" spans="1:37" ht="15.95" thickBot="1">
      <c r="A56" s="304" t="s">
        <v>132</v>
      </c>
      <c r="B56" s="463"/>
      <c r="C56" s="464"/>
      <c r="D56" s="464"/>
      <c r="E56" s="465"/>
    </row>
    <row r="57" spans="1:37" ht="15.95" thickBot="1">
      <c r="A57" s="305" t="s">
        <v>133</v>
      </c>
      <c r="B57" s="466"/>
      <c r="C57" s="467"/>
      <c r="D57" s="467"/>
      <c r="E57" s="468"/>
    </row>
    <row r="58" spans="1:37" ht="15.95" thickBot="1">
      <c r="A58" s="305" t="s">
        <v>134</v>
      </c>
      <c r="B58" s="466"/>
      <c r="C58" s="467"/>
      <c r="D58" s="467"/>
      <c r="E58" s="468"/>
    </row>
    <row r="59" spans="1:37" ht="15.95" thickBot="1">
      <c r="A59" s="306" t="s">
        <v>99</v>
      </c>
      <c r="B59" s="452"/>
      <c r="C59" s="453"/>
      <c r="D59" s="453"/>
      <c r="E59" s="454"/>
    </row>
    <row r="60" spans="1:37">
      <c r="A60" s="308"/>
      <c r="B60" s="308"/>
      <c r="C60" s="308"/>
      <c r="D60" s="308"/>
      <c r="E60" s="308"/>
    </row>
    <row r="61" spans="1:37">
      <c r="A61" s="285"/>
      <c r="B61" s="285"/>
      <c r="C61" s="285"/>
      <c r="D61" s="285"/>
      <c r="E61" s="285"/>
    </row>
    <row r="62" spans="1:37" ht="15.6">
      <c r="A62" s="455" t="s">
        <v>116</v>
      </c>
      <c r="B62" s="456" t="s">
        <v>92</v>
      </c>
      <c r="C62" s="456"/>
      <c r="D62" s="456"/>
      <c r="E62" s="456"/>
    </row>
    <row r="63" spans="1:37">
      <c r="A63" s="194" t="str" cm="1">
        <f t="array" ref="A63">_xlfn._xlws.FILTER(AK63:AK75,AJ63:AJ75=FALSE,"")</f>
        <v/>
      </c>
      <c r="B63" s="194"/>
      <c r="C63" s="194"/>
      <c r="D63" s="194"/>
      <c r="E63" s="194"/>
      <c r="AJ63" s="146" t="b">
        <f>AK63=""</f>
        <v>1</v>
      </c>
      <c r="AK63" s="193" t="str">
        <f>IF(AND(B16 &gt;= 1, B16 &lt;= 16250), "Coordinator Salary lower than average. Provide details in comments if this line item has an orange background", IF(B16 &gt; 22000, "Coordinator Salary higher than average. Provide details in comments if this line item has an orange background", ""))</f>
        <v/>
      </c>
    </row>
    <row r="64" spans="1:37">
      <c r="A64" s="194"/>
      <c r="B64" s="194"/>
      <c r="C64" s="194"/>
      <c r="D64" s="194"/>
      <c r="E64" s="194"/>
      <c r="AJ64" s="146" t="b">
        <f>AK64=""</f>
        <v>1</v>
      </c>
      <c r="AK64" s="193" t="str">
        <f>IF(AND(B17 &gt;= 1, B17 &lt;= 2500), "Line Manager Salary lower than average. Provide details in comments if this line item has an orange background", IF(B17 &gt; 5000, "Line Manager Salary higher than average. Provide details in comments if this line item has an orange background", ""))</f>
        <v/>
      </c>
    </row>
    <row r="65" spans="1:37">
      <c r="A65" s="194"/>
      <c r="B65" s="194"/>
      <c r="C65" s="194"/>
      <c r="D65" s="194"/>
      <c r="E65" s="194"/>
      <c r="AJ65" s="146" t="b">
        <f t="shared" ref="AJ65:AJ66" si="1">AK65=""</f>
        <v>1</v>
      </c>
      <c r="AK65" s="193" t="str">
        <f>IF(B24&gt;2500,"Meetings and Gatherings higher than average please provide details in the comments section","")</f>
        <v/>
      </c>
    </row>
    <row r="66" spans="1:37">
      <c r="A66" s="194"/>
      <c r="B66" s="194"/>
      <c r="C66" s="194"/>
      <c r="D66" s="194"/>
      <c r="E66" s="194"/>
      <c r="AJ66" s="146" t="b">
        <f t="shared" si="1"/>
        <v>1</v>
      </c>
      <c r="AK66" s="193" t="str">
        <f>IF(B30&gt;0,"Please provide details of the inclusions in the comments section","")</f>
        <v/>
      </c>
    </row>
    <row r="67" spans="1:37">
      <c r="A67" s="194"/>
      <c r="B67" s="194"/>
      <c r="C67" s="194"/>
      <c r="D67" s="194"/>
      <c r="E67" s="194"/>
      <c r="AJ67" s="146" t="b">
        <f>AK67=""</f>
        <v>1</v>
      </c>
      <c r="AK67" s="193" t="str">
        <f>IFERROR(IF(B31/B12&gt;0.15,"Overheads higher than 15%. Provide details in comments if this line item has an orange background",""),"")</f>
        <v/>
      </c>
    </row>
    <row r="68" spans="1:37">
      <c r="A68" s="194"/>
      <c r="B68" s="194"/>
      <c r="C68" s="194"/>
      <c r="D68" s="194"/>
      <c r="E68" s="194"/>
      <c r="AJ68" s="146" t="b">
        <f>AK68=""</f>
        <v>1</v>
      </c>
      <c r="AK68" s="193" t="str">
        <f>IF(B19&gt;(B16+B17+B18)*20%,"Other employment higher than average. Please provide details","")</f>
        <v/>
      </c>
    </row>
    <row r="69" spans="1:37">
      <c r="A69" s="194"/>
      <c r="B69" s="194"/>
      <c r="C69" s="194"/>
      <c r="D69" s="194"/>
      <c r="E69" s="194"/>
      <c r="AJ69" s="146" t="b">
        <f t="shared" ref="AJ69:AJ76" si="2">AK69=""</f>
        <v>1</v>
      </c>
      <c r="AK69" s="342" t="str">
        <f>IF(B22&gt;3500,"Property Costs higher than avererage. Please provide details in the comments section","")</f>
        <v/>
      </c>
    </row>
    <row r="70" spans="1:37">
      <c r="A70" s="194"/>
      <c r="B70" s="194"/>
      <c r="C70" s="194"/>
      <c r="D70" s="194"/>
      <c r="E70" s="194"/>
      <c r="AJ70" s="146" t="b">
        <f t="shared" si="2"/>
        <v>1</v>
      </c>
      <c r="AK70" s="342" t="str">
        <f>IF(B25&gt;2000,"Office Costs higher than avererage. Please provide details in the comments section","")</f>
        <v/>
      </c>
    </row>
    <row r="71" spans="1:37">
      <c r="A71" s="194"/>
      <c r="B71" s="194"/>
      <c r="C71" s="194"/>
      <c r="D71" s="194"/>
      <c r="E71" s="194"/>
      <c r="AJ71" s="146" t="b">
        <f t="shared" si="2"/>
        <v>1</v>
      </c>
      <c r="AK71" s="342" t="str">
        <f>IF(B27&gt;2000,"Travel Costs higher than avererage. Please provide details in the comments section","")</f>
        <v/>
      </c>
    </row>
    <row r="72" spans="1:37">
      <c r="A72" s="194"/>
      <c r="B72" s="194"/>
      <c r="C72" s="194"/>
      <c r="D72" s="194"/>
      <c r="E72" s="194"/>
      <c r="AJ72" s="146" t="b">
        <f t="shared" si="2"/>
        <v>1</v>
      </c>
      <c r="AK72" s="342" t="str">
        <f>IF(AND(B28&lt;1000,B28&gt;1),"Professional development Coordinator lower than avererage. Please provide details in the comments section","")</f>
        <v/>
      </c>
    </row>
    <row r="73" spans="1:37">
      <c r="A73" s="194"/>
      <c r="B73" s="194"/>
      <c r="C73" s="194"/>
      <c r="D73" s="194"/>
      <c r="E73" s="194"/>
      <c r="AJ73" s="146" t="b">
        <f t="shared" si="2"/>
        <v>1</v>
      </c>
      <c r="AK73" s="342" t="str">
        <f>IF(B28&gt;2500,"Professional development Coordinator higher than avererage. Please provide details in the comments section","")</f>
        <v/>
      </c>
    </row>
    <row r="74" spans="1:37">
      <c r="A74" s="194"/>
      <c r="B74" s="194"/>
      <c r="C74" s="194"/>
      <c r="D74" s="194"/>
      <c r="E74" s="194"/>
      <c r="AJ74" s="146" t="b">
        <f t="shared" si="2"/>
        <v>1</v>
      </c>
      <c r="AK74" s="342" t="str">
        <f>IF(AND(B29&lt;2000,B29&gt;1),"Professional development Tutors lower than avererage. Please provide details in the comments section","")</f>
        <v/>
      </c>
    </row>
    <row r="75" spans="1:37">
      <c r="AJ75" s="146" t="b">
        <f t="shared" si="2"/>
        <v>1</v>
      </c>
      <c r="AK75" s="342" t="str">
        <f>IF(B29&gt;3500,"Professional development Tutor higher than avererage. Please provide details in the comments section","")</f>
        <v/>
      </c>
    </row>
    <row r="76" spans="1:37">
      <c r="A76" s="338" t="s">
        <v>37</v>
      </c>
      <c r="AJ76" s="146" t="b">
        <f t="shared" si="2"/>
        <v>1</v>
      </c>
      <c r="AK76" s="342" t="str">
        <f>IF(B30&gt;2500,"Other - higher than avererage. Please provide details in the comments section","")</f>
        <v/>
      </c>
    </row>
    <row r="77" spans="1:37">
      <c r="A77" s="339">
        <v>2</v>
      </c>
      <c r="B77" s="339"/>
      <c r="C77" s="340"/>
      <c r="D77" s="341"/>
    </row>
    <row r="78" spans="1:37">
      <c r="A78" s="340">
        <v>45658</v>
      </c>
    </row>
    <row r="79" spans="1:37">
      <c r="A79" s="341" t="s">
        <v>170</v>
      </c>
    </row>
  </sheetData>
  <sheetProtection algorithmName="SHA-512" hashValue="EAxbyx3vTBxcpMZQ2kRrlx/EfmILDdNPCaZPZ6zObsYxB2qI4bu3cXUNrA+KxN+anrZUu8MpNYlJGaSMFfNVeA==" saltValue="V/GfHaXHuRg4xAcTsOCNqg==" spinCount="100000" sheet="1" objects="1" scenarios="1"/>
  <mergeCells count="56">
    <mergeCell ref="C19:D19"/>
    <mergeCell ref="B1:E1"/>
    <mergeCell ref="B7:D7"/>
    <mergeCell ref="C10:D10"/>
    <mergeCell ref="A11:D11"/>
    <mergeCell ref="C12:D12"/>
    <mergeCell ref="C13:D13"/>
    <mergeCell ref="C14:D14"/>
    <mergeCell ref="A15:D15"/>
    <mergeCell ref="C16:D16"/>
    <mergeCell ref="C17:D17"/>
    <mergeCell ref="C18:D18"/>
    <mergeCell ref="C31:D31"/>
    <mergeCell ref="C20:D20"/>
    <mergeCell ref="A21:D21"/>
    <mergeCell ref="C22:D22"/>
    <mergeCell ref="C23:D23"/>
    <mergeCell ref="C24:D24"/>
    <mergeCell ref="C25:D25"/>
    <mergeCell ref="C26:D26"/>
    <mergeCell ref="C27:D27"/>
    <mergeCell ref="C28:D28"/>
    <mergeCell ref="C29:D29"/>
    <mergeCell ref="C30:D30"/>
    <mergeCell ref="C32:D32"/>
    <mergeCell ref="C33:D33"/>
    <mergeCell ref="C34:D34"/>
    <mergeCell ref="A36:E36"/>
    <mergeCell ref="B39:C39"/>
    <mergeCell ref="D39:E39"/>
    <mergeCell ref="B45:C45"/>
    <mergeCell ref="D45:E45"/>
    <mergeCell ref="B46:C46"/>
    <mergeCell ref="D46:E46"/>
    <mergeCell ref="B47:C47"/>
    <mergeCell ref="D47:E47"/>
    <mergeCell ref="B48:C48"/>
    <mergeCell ref="D48:E48"/>
    <mergeCell ref="B49:C49"/>
    <mergeCell ref="D49:E49"/>
    <mergeCell ref="B50:C50"/>
    <mergeCell ref="D50:E50"/>
    <mergeCell ref="B51:C51"/>
    <mergeCell ref="D51:E51"/>
    <mergeCell ref="B52:C52"/>
    <mergeCell ref="D52:E52"/>
    <mergeCell ref="B53:C53"/>
    <mergeCell ref="D53:E53"/>
    <mergeCell ref="B59:E59"/>
    <mergeCell ref="A62:E62"/>
    <mergeCell ref="B54:C54"/>
    <mergeCell ref="D54:E54"/>
    <mergeCell ref="B55:E55"/>
    <mergeCell ref="B56:E56"/>
    <mergeCell ref="B57:E57"/>
    <mergeCell ref="B58:E58"/>
  </mergeCells>
  <conditionalFormatting sqref="B16">
    <cfRule type="cellIs" dxfId="51" priority="29" operator="greaterThan">
      <formula>22000</formula>
    </cfRule>
    <cfRule type="cellIs" dxfId="50" priority="30" operator="between">
      <formula>1</formula>
      <formula>16250</formula>
    </cfRule>
  </conditionalFormatting>
  <conditionalFormatting sqref="B17">
    <cfRule type="cellIs" dxfId="49" priority="25" operator="greaterThan">
      <formula>3750</formula>
    </cfRule>
    <cfRule type="cellIs" dxfId="48" priority="26" operator="between">
      <formula>1</formula>
      <formula>2500</formula>
    </cfRule>
  </conditionalFormatting>
  <conditionalFormatting sqref="B19">
    <cfRule type="expression" dxfId="47" priority="4">
      <formula>$B$19&gt;($B$16+$B$17+$B$18)*20%</formula>
    </cfRule>
  </conditionalFormatting>
  <conditionalFormatting sqref="B22">
    <cfRule type="cellIs" dxfId="46" priority="22" operator="greaterThan">
      <formula>3500</formula>
    </cfRule>
  </conditionalFormatting>
  <conditionalFormatting sqref="B24">
    <cfRule type="cellIs" dxfId="45" priority="2" operator="greaterThan">
      <formula>2500</formula>
    </cfRule>
  </conditionalFormatting>
  <conditionalFormatting sqref="B25">
    <cfRule type="cellIs" dxfId="44" priority="19" operator="greaterThan">
      <formula>2000</formula>
    </cfRule>
    <cfRule type="cellIs" dxfId="43" priority="20" operator="greaterThan">
      <formula>4000</formula>
    </cfRule>
  </conditionalFormatting>
  <conditionalFormatting sqref="B27">
    <cfRule type="cellIs" dxfId="42" priority="16" operator="greaterThan">
      <formula>2000</formula>
    </cfRule>
  </conditionalFormatting>
  <conditionalFormatting sqref="B28">
    <cfRule type="cellIs" dxfId="41" priority="14" operator="between">
      <formula>1</formula>
      <formula>1000</formula>
    </cfRule>
  </conditionalFormatting>
  <conditionalFormatting sqref="B28:B30">
    <cfRule type="cellIs" dxfId="40" priority="8" operator="greaterThan">
      <formula>2500</formula>
    </cfRule>
  </conditionalFormatting>
  <conditionalFormatting sqref="B29">
    <cfRule type="expression" dxfId="39" priority="11">
      <formula>AND($B$29&gt;1,$B$29&lt;2000)</formula>
    </cfRule>
  </conditionalFormatting>
  <conditionalFormatting sqref="B31">
    <cfRule type="expression" dxfId="38" priority="6">
      <formula>$B$31/$B$12&gt;0.15</formula>
    </cfRule>
  </conditionalFormatting>
  <conditionalFormatting sqref="C16">
    <cfRule type="expression" dxfId="37" priority="27">
      <formula>$B$16&gt;22000</formula>
    </cfRule>
    <cfRule type="expression" dxfId="36" priority="28">
      <formula>AND($B$16&gt;1,$B$16&lt;16250)</formula>
    </cfRule>
  </conditionalFormatting>
  <conditionalFormatting sqref="C17">
    <cfRule type="expression" dxfId="35" priority="23">
      <formula>AND($B$17&gt;1,$B$17&lt;2500)</formula>
    </cfRule>
    <cfRule type="expression" dxfId="34" priority="24">
      <formula>$B$17&gt;5000</formula>
    </cfRule>
  </conditionalFormatting>
  <conditionalFormatting sqref="C19">
    <cfRule type="expression" dxfId="33" priority="3">
      <formula>$B$19&gt;($B$16+$B$17+$B$18)*20%</formula>
    </cfRule>
  </conditionalFormatting>
  <conditionalFormatting sqref="C22">
    <cfRule type="expression" dxfId="32" priority="21">
      <formula>$B$22&gt;3500</formula>
    </cfRule>
  </conditionalFormatting>
  <conditionalFormatting sqref="C25">
    <cfRule type="expression" dxfId="31" priority="17">
      <formula>"($B$26+$C$26)&gt;4000"</formula>
    </cfRule>
    <cfRule type="expression" dxfId="30" priority="18">
      <formula>$B$25&gt;2000</formula>
    </cfRule>
  </conditionalFormatting>
  <conditionalFormatting sqref="C27">
    <cfRule type="expression" dxfId="29" priority="15">
      <formula>$B$27&gt;2000</formula>
    </cfRule>
  </conditionalFormatting>
  <conditionalFormatting sqref="C28">
    <cfRule type="expression" dxfId="28" priority="12">
      <formula>$B$28&gt;2500</formula>
    </cfRule>
    <cfRule type="expression" dxfId="27" priority="13">
      <formula>AND($B$28&gt;1,$B$28&lt;1000)</formula>
    </cfRule>
  </conditionalFormatting>
  <conditionalFormatting sqref="C29">
    <cfRule type="expression" dxfId="26" priority="9">
      <formula>$B$29&gt;2500</formula>
    </cfRule>
    <cfRule type="expression" dxfId="25" priority="10">
      <formula>AND($B$29&gt;1,$B$29&lt;2000)</formula>
    </cfRule>
  </conditionalFormatting>
  <conditionalFormatting sqref="C30">
    <cfRule type="expression" dxfId="24" priority="7">
      <formula>$B$30&gt;2500</formula>
    </cfRule>
  </conditionalFormatting>
  <conditionalFormatting sqref="C31">
    <cfRule type="expression" dxfId="23" priority="5">
      <formula>$B$31/$B$12&gt;0.15</formula>
    </cfRule>
  </conditionalFormatting>
  <conditionalFormatting sqref="C24:D24">
    <cfRule type="expression" dxfId="22" priority="1">
      <formula>$B$24&gt;2500</formula>
    </cfRule>
  </conditionalFormatting>
  <hyperlinks>
    <hyperlink ref="A36:E36" location="Instructions!A53" display="Remuneration Detail" xr:uid="{FA2C1263-CB3B-45EE-A92D-E065182D01F1}"/>
    <hyperlink ref="A12" location="Instructions!A7" display="Income from HIPPY Australia" xr:uid="{B48F3983-A0C4-4AF0-9B86-888433470CD5}"/>
    <hyperlink ref="A13" location="Instructions!A8" display="Other income" xr:uid="{0F302F1A-8771-4E7A-B11B-F6EC98E4E4DA}"/>
    <hyperlink ref="A16" location="Instructions!A9" display="Coordinator(s)" xr:uid="{B0A3E058-3B9D-4C95-8ADA-A1212814F295}"/>
    <hyperlink ref="A17" location="Instructions!A10" display="Line Manager(s)" xr:uid="{6FA67C7C-6F94-42E3-A655-B10976F47947}"/>
    <hyperlink ref="A18" location="Instructions!A11" display="Tutors" xr:uid="{9BE6B28D-ED11-49D0-9BDD-01CFA1F50F08}"/>
    <hyperlink ref="A19" location="Instructions!A12" display="Other employment" xr:uid="{556D824C-141E-4C1D-BC50-F3D1ABCDB82B}"/>
    <hyperlink ref="A22" location="Instructions!A13" display="Property costs" xr:uid="{36A8AC87-526E-472F-B3AC-EB91E8B01FCF}"/>
    <hyperlink ref="A23" location="Instructions!A14" display="Materials &amp; resources" xr:uid="{B4A85C58-89DE-4EF1-9009-A2B0537438FA}"/>
    <hyperlink ref="A24" location="Instructions!A15" display="Meetings &amp; gatherings" xr:uid="{18E1292F-FD5B-479A-837F-E90F575CA3DD}"/>
    <hyperlink ref="A26" location="Instructions!A17" display="Promotional costs" xr:uid="{7568AF3C-F1B6-4224-A513-6D27260691E6}"/>
    <hyperlink ref="A27" location="Instructions!A18" display="Travel" xr:uid="{C42ACBB2-9EB7-4CDF-9AE6-E3705C4697C4}"/>
    <hyperlink ref="A28" location="Instructions!A19" display="Professional development - Coordinator" xr:uid="{0235AF4E-CEDD-4155-842D-795C1E650978}"/>
    <hyperlink ref="A30" location="Instructions!A21" display="Other " xr:uid="{8545A5D4-F49E-4AE3-B77F-E1828F2F2DD9}"/>
    <hyperlink ref="A31" location="Instructions!A22" display="Overhead costs" xr:uid="{DC7155BE-6A58-4ACF-A4AC-531944A8B107}"/>
    <hyperlink ref="A25" location="Instructions!A16" display="Office costs" xr:uid="{6B3DDC31-6359-4EDC-893D-F22922B8DB51}"/>
    <hyperlink ref="A29" location="Instructions!A20" display="Professional development - Tutors" xr:uid="{77AA0EE1-91F3-421B-A674-924147C96D6E}"/>
  </hyperlinks>
  <printOptions horizontalCentered="1" verticalCentered="1"/>
  <pageMargins left="0.23622047244094491" right="0.23622047244094491" top="0.74803149606299213" bottom="0.74803149606299213" header="0.31496062992125984" footer="0.31496062992125984"/>
  <pageSetup paperSize="9" scale="68" orientation="portrait" r:id="rId1"/>
  <headerFooter>
    <oddHeader>&amp;L&amp;"Calibri"&amp;12&amp;K000000 OFFICIAL&amp;1#_x000D_</oddHeader>
  </headerFooter>
  <ignoredErrors>
    <ignoredError sqref="B32:B34 B18 B14 B20 D46:E54" unlockedFormula="1"/>
  </ignoredError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31EDF6D3-0C7D-4619-AB30-09CAD7E148D7}">
          <x14:formula1>
            <xm:f>Lists!$A$5:$A$71</xm:f>
          </x14:formula1>
          <xm:sqref>C41:C44</xm:sqref>
        </x14:dataValidation>
        <x14:dataValidation type="list" allowBlank="1" showInputMessage="1" showErrorMessage="1" xr:uid="{87D2A644-41F9-4E0F-ACF6-C4015029896F}">
          <x14:formula1>
            <xm:f>Lists!$A$2:$A$3</xm:f>
          </x14:formula1>
          <xm:sqref>B41:B44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BFD76-1742-4BFF-8726-13F6A47F4B8F}">
  <sheetPr>
    <tabColor rgb="FFFFC000"/>
  </sheetPr>
  <dimension ref="A1:AA45"/>
  <sheetViews>
    <sheetView showGridLines="0" topLeftCell="A22" workbookViewId="0">
      <selection activeCell="E11" sqref="E11"/>
    </sheetView>
  </sheetViews>
  <sheetFormatPr defaultColWidth="9.140625" defaultRowHeight="14.45"/>
  <cols>
    <col min="1" max="1" width="45.28515625" style="3" customWidth="1"/>
    <col min="2" max="2" width="15.7109375" style="125" customWidth="1"/>
    <col min="3" max="3" width="92.7109375" style="125" customWidth="1"/>
    <col min="4" max="24" width="16.140625" style="125" customWidth="1"/>
    <col min="25" max="25" width="16.140625" style="344" hidden="1" customWidth="1"/>
    <col min="26" max="26" width="49.42578125" style="3" hidden="1" customWidth="1"/>
    <col min="27" max="27" width="6.140625" style="3" hidden="1" customWidth="1"/>
    <col min="28" max="28" width="0" style="3" hidden="1" customWidth="1"/>
    <col min="29" max="16384" width="9.140625" style="3"/>
  </cols>
  <sheetData>
    <row r="1" spans="1:27" ht="75.75" customHeight="1">
      <c r="A1" s="13"/>
      <c r="B1" s="186" t="s">
        <v>172</v>
      </c>
      <c r="C1" s="186"/>
      <c r="D1" s="3"/>
      <c r="E1" s="3"/>
      <c r="F1" s="3"/>
      <c r="G1" s="3"/>
      <c r="H1" s="3"/>
      <c r="I1" s="3"/>
      <c r="J1" s="3"/>
      <c r="K1" s="3"/>
      <c r="L1" s="3"/>
      <c r="M1" s="3"/>
      <c r="N1" s="3"/>
      <c r="O1" s="3"/>
      <c r="P1" s="3"/>
      <c r="Q1" s="3"/>
      <c r="R1" s="3"/>
      <c r="S1" s="3"/>
      <c r="T1" s="3"/>
      <c r="U1" s="3"/>
      <c r="V1" s="3"/>
      <c r="W1" s="3"/>
      <c r="X1" s="3"/>
      <c r="Y1" s="123"/>
    </row>
    <row r="2" spans="1:27" ht="20.100000000000001" customHeight="1">
      <c r="A2" s="13"/>
      <c r="B2" s="143" t="s">
        <v>78</v>
      </c>
      <c r="C2" s="187"/>
      <c r="D2" s="3"/>
      <c r="E2" s="3"/>
      <c r="F2" s="3"/>
      <c r="G2" s="3"/>
      <c r="H2" s="3"/>
      <c r="I2" s="3"/>
      <c r="J2" s="3"/>
      <c r="K2" s="3"/>
      <c r="L2" s="3"/>
      <c r="M2" s="3"/>
      <c r="N2" s="3"/>
      <c r="O2" s="3"/>
      <c r="P2" s="3"/>
      <c r="Q2" s="3"/>
      <c r="R2" s="3"/>
      <c r="S2" s="3"/>
      <c r="T2" s="3"/>
      <c r="U2" s="3"/>
      <c r="V2" s="3"/>
      <c r="W2" s="3"/>
      <c r="X2" s="3"/>
      <c r="Y2" s="123"/>
    </row>
    <row r="3" spans="1:27" ht="20.100000000000001" customHeight="1">
      <c r="A3" s="13"/>
      <c r="B3" s="360" t="s">
        <v>173</v>
      </c>
      <c r="C3" s="187"/>
      <c r="D3" s="3"/>
      <c r="E3" s="3"/>
      <c r="F3" s="3"/>
      <c r="G3" s="3"/>
      <c r="H3" s="3"/>
      <c r="I3" s="3"/>
      <c r="J3" s="3"/>
      <c r="K3" s="3"/>
      <c r="L3" s="3"/>
      <c r="M3" s="3"/>
      <c r="N3" s="3"/>
      <c r="O3" s="3"/>
      <c r="P3" s="3"/>
      <c r="Q3" s="3"/>
      <c r="R3" s="3"/>
      <c r="S3" s="3"/>
      <c r="T3" s="3"/>
      <c r="U3" s="3"/>
      <c r="V3" s="3"/>
      <c r="W3" s="3"/>
      <c r="X3" s="3"/>
      <c r="Y3" s="123"/>
    </row>
    <row r="4" spans="1:27" ht="20.100000000000001" customHeight="1">
      <c r="A4" s="13"/>
      <c r="B4" s="361" t="s">
        <v>80</v>
      </c>
      <c r="C4" s="187"/>
      <c r="D4" s="3"/>
      <c r="E4" s="3"/>
      <c r="F4" s="3"/>
      <c r="G4" s="3"/>
      <c r="H4" s="3"/>
      <c r="I4" s="3"/>
      <c r="J4" s="3"/>
      <c r="K4" s="3"/>
      <c r="L4" s="3"/>
      <c r="M4" s="3"/>
      <c r="N4" s="3"/>
      <c r="O4" s="3"/>
      <c r="P4" s="3"/>
      <c r="Q4" s="3"/>
      <c r="R4" s="3"/>
      <c r="S4" s="3"/>
      <c r="T4" s="3"/>
      <c r="U4" s="3"/>
      <c r="V4" s="3"/>
      <c r="W4" s="3"/>
      <c r="X4" s="3"/>
      <c r="Y4" s="123"/>
    </row>
    <row r="5" spans="1:27" ht="33" customHeight="1">
      <c r="A5" s="13"/>
      <c r="B5" s="540" t="s">
        <v>174</v>
      </c>
      <c r="C5" s="540"/>
      <c r="D5" s="3"/>
      <c r="E5" s="3"/>
      <c r="F5" s="3"/>
      <c r="G5" s="3"/>
      <c r="H5" s="3"/>
      <c r="I5" s="3"/>
      <c r="J5" s="3"/>
      <c r="K5" s="3"/>
      <c r="L5" s="3"/>
      <c r="M5" s="3"/>
      <c r="N5" s="3"/>
      <c r="O5" s="3"/>
      <c r="P5" s="3"/>
      <c r="Q5" s="3"/>
      <c r="R5" s="3"/>
      <c r="S5" s="3"/>
      <c r="T5" s="3"/>
      <c r="U5" s="3"/>
      <c r="V5" s="3"/>
      <c r="W5" s="3"/>
      <c r="X5" s="3"/>
      <c r="Y5" s="123"/>
    </row>
    <row r="6" spans="1:27" ht="20.100000000000001" customHeight="1">
      <c r="A6" s="13"/>
      <c r="B6" s="144" t="s">
        <v>175</v>
      </c>
      <c r="C6" s="187"/>
      <c r="D6" s="3"/>
      <c r="E6" s="3"/>
      <c r="F6" s="3"/>
      <c r="G6" s="3"/>
      <c r="H6" s="3"/>
      <c r="I6" s="3"/>
      <c r="J6" s="3"/>
      <c r="K6" s="3"/>
      <c r="L6" s="3"/>
      <c r="M6" s="3"/>
      <c r="N6" s="3"/>
      <c r="O6" s="3"/>
      <c r="P6" s="3"/>
      <c r="Q6" s="3"/>
      <c r="R6" s="3"/>
      <c r="S6" s="3"/>
      <c r="T6" s="3"/>
      <c r="U6" s="3"/>
      <c r="V6" s="3"/>
      <c r="W6" s="3"/>
      <c r="X6" s="3"/>
      <c r="Y6" s="123"/>
    </row>
    <row r="7" spans="1:27" ht="20.100000000000001" customHeight="1">
      <c r="A7" s="13"/>
      <c r="B7" s="144" t="s">
        <v>176</v>
      </c>
      <c r="C7" s="187"/>
      <c r="D7" s="3"/>
      <c r="E7" s="3"/>
      <c r="F7" s="3"/>
      <c r="G7" s="3"/>
      <c r="H7" s="3"/>
      <c r="I7" s="3"/>
      <c r="J7" s="3"/>
      <c r="K7" s="3"/>
      <c r="L7" s="3"/>
      <c r="M7" s="3"/>
      <c r="N7" s="3"/>
      <c r="O7" s="3"/>
      <c r="P7" s="3"/>
      <c r="Q7" s="3"/>
      <c r="R7" s="3"/>
      <c r="S7" s="3"/>
      <c r="T7" s="3"/>
      <c r="U7" s="3"/>
      <c r="V7" s="3"/>
      <c r="W7" s="3"/>
      <c r="X7" s="3"/>
      <c r="Y7" s="123"/>
    </row>
    <row r="8" spans="1:27" ht="20.100000000000001" customHeight="1">
      <c r="A8" s="13"/>
      <c r="B8" s="144" t="s">
        <v>177</v>
      </c>
      <c r="C8" s="187"/>
      <c r="D8" s="3"/>
      <c r="E8" s="3"/>
      <c r="F8" s="3"/>
      <c r="G8" s="3"/>
      <c r="H8" s="3"/>
      <c r="I8" s="3"/>
      <c r="J8" s="3"/>
      <c r="K8" s="3"/>
      <c r="L8" s="3"/>
      <c r="M8" s="3"/>
      <c r="N8" s="3"/>
      <c r="O8" s="3"/>
      <c r="P8" s="3"/>
      <c r="Q8" s="3"/>
      <c r="R8" s="3"/>
      <c r="S8" s="3"/>
      <c r="T8" s="3"/>
      <c r="U8" s="3"/>
      <c r="V8" s="3"/>
      <c r="W8" s="3"/>
      <c r="X8" s="3"/>
      <c r="Y8" s="123"/>
    </row>
    <row r="9" spans="1:27">
      <c r="Z9" s="20"/>
      <c r="AA9" s="20"/>
    </row>
    <row r="10" spans="1:27" ht="20.100000000000001" customHeight="1">
      <c r="A10" s="286" t="s">
        <v>81</v>
      </c>
      <c r="B10" s="539"/>
      <c r="C10" s="539"/>
      <c r="D10" s="285"/>
      <c r="E10" s="3"/>
      <c r="F10" s="3"/>
      <c r="G10" s="3"/>
      <c r="H10" s="3"/>
      <c r="I10" s="3"/>
      <c r="J10" s="3"/>
      <c r="K10" s="3"/>
      <c r="L10" s="3"/>
      <c r="M10" s="3"/>
      <c r="N10" s="3"/>
      <c r="O10" s="3"/>
      <c r="P10" s="3"/>
      <c r="Q10" s="3"/>
      <c r="R10" s="3"/>
      <c r="S10" s="3"/>
      <c r="T10" s="3"/>
      <c r="U10" s="3"/>
      <c r="V10" s="3"/>
      <c r="W10" s="3"/>
      <c r="X10" s="3"/>
      <c r="Y10" s="123"/>
      <c r="AA10" s="20"/>
    </row>
    <row r="11" spans="1:27" ht="20.100000000000001" customHeight="1">
      <c r="A11" s="286" t="s">
        <v>178</v>
      </c>
      <c r="B11" s="288" t="str">
        <f>_xlfn.CONCAT(Lists!$I$28)</f>
        <v>FY 24/25</v>
      </c>
      <c r="C11" s="319"/>
      <c r="D11" s="319"/>
      <c r="E11" s="129"/>
      <c r="F11" s="129"/>
      <c r="G11" s="129"/>
      <c r="H11" s="129"/>
      <c r="I11" s="129"/>
      <c r="J11" s="129"/>
      <c r="K11" s="129"/>
      <c r="L11" s="129"/>
      <c r="M11" s="129"/>
      <c r="N11" s="129"/>
      <c r="O11" s="129"/>
      <c r="P11" s="129"/>
      <c r="Q11" s="129"/>
      <c r="R11" s="129"/>
      <c r="S11" s="129"/>
      <c r="T11" s="129"/>
      <c r="U11" s="129"/>
      <c r="V11" s="129"/>
      <c r="W11" s="129"/>
      <c r="X11" s="129"/>
      <c r="Y11" s="345"/>
      <c r="Z11" s="124"/>
      <c r="AA11" s="20"/>
    </row>
    <row r="12" spans="1:27" ht="20.100000000000001" customHeight="1" thickBot="1">
      <c r="A12" s="286" t="s">
        <v>179</v>
      </c>
      <c r="B12" s="217">
        <v>0</v>
      </c>
      <c r="C12" s="319"/>
      <c r="D12" s="319"/>
      <c r="E12" s="129"/>
      <c r="F12" s="129"/>
      <c r="G12" s="129"/>
      <c r="H12" s="129"/>
      <c r="I12" s="129"/>
      <c r="J12" s="129"/>
      <c r="K12" s="129"/>
      <c r="L12" s="129"/>
      <c r="M12" s="129"/>
      <c r="N12" s="129"/>
      <c r="O12" s="129"/>
      <c r="P12" s="129"/>
      <c r="Q12" s="129"/>
      <c r="R12" s="129"/>
      <c r="S12" s="129"/>
      <c r="T12" s="129"/>
      <c r="U12" s="129"/>
      <c r="V12" s="129"/>
      <c r="W12" s="129"/>
      <c r="X12" s="129"/>
      <c r="Y12" s="345"/>
      <c r="Z12" s="124"/>
      <c r="AA12" s="20"/>
    </row>
    <row r="13" spans="1:27" ht="15.6">
      <c r="A13" s="286"/>
      <c r="B13" s="288"/>
      <c r="C13" s="320"/>
      <c r="D13" s="231"/>
      <c r="E13" s="131"/>
      <c r="F13" s="131"/>
      <c r="G13" s="131"/>
      <c r="H13" s="131"/>
      <c r="I13" s="131"/>
      <c r="J13" s="131"/>
      <c r="K13" s="131"/>
      <c r="L13" s="131"/>
      <c r="M13" s="131"/>
      <c r="N13" s="131"/>
      <c r="O13" s="131"/>
      <c r="P13" s="131"/>
      <c r="Q13" s="131"/>
      <c r="R13" s="131"/>
      <c r="S13" s="131"/>
      <c r="T13" s="131"/>
      <c r="U13" s="231"/>
      <c r="V13" s="131"/>
      <c r="W13" s="131"/>
      <c r="X13" s="131"/>
      <c r="Y13" s="346" t="b">
        <f>Z13=""</f>
        <v>1</v>
      </c>
      <c r="Z13" s="193" t="str">
        <f>IF(AND(B16 &gt;= 1, B16 &lt;= 65000), "Coordinator Salary lower than average. Provide details in comments if this line item has an orange background", IF(B16 &gt; 88000, "Coordinator Salary higher than average. Provide details in comments if this line item has an orange background", ""))</f>
        <v/>
      </c>
      <c r="AA13" s="20"/>
    </row>
    <row r="14" spans="1:27" ht="24.6" thickBot="1">
      <c r="A14" s="290" t="s">
        <v>84</v>
      </c>
      <c r="B14" s="353"/>
      <c r="C14" s="354" t="s">
        <v>180</v>
      </c>
      <c r="D14" s="285"/>
      <c r="E14" s="3"/>
      <c r="F14" s="3"/>
      <c r="G14" s="3"/>
      <c r="H14" s="3"/>
      <c r="I14" s="3"/>
      <c r="J14" s="3"/>
      <c r="K14" s="3"/>
      <c r="L14" s="3"/>
      <c r="M14" s="3"/>
      <c r="N14" s="3"/>
      <c r="O14" s="3"/>
      <c r="P14" s="3"/>
      <c r="Q14" s="3"/>
      <c r="R14" s="3"/>
      <c r="S14" s="3"/>
      <c r="T14" s="3"/>
      <c r="U14" s="3"/>
      <c r="V14" s="3"/>
      <c r="W14" s="3"/>
      <c r="X14" s="3"/>
      <c r="Y14" s="346" t="b">
        <f>Z14=""</f>
        <v>1</v>
      </c>
      <c r="Z14" s="193" t="str">
        <f>IF(AND(B17 &gt;= 1, B17 &lt;= 5000), "Line Manager Salary lower than average. Provide details in comments if this line item has an orange background", IF(B17 &gt; 7500, "Line Manager Salary higher than average. Provide details in comments if this line item has an orange background", ""))</f>
        <v/>
      </c>
    </row>
    <row r="15" spans="1:27" s="123" customFormat="1" ht="30.95">
      <c r="A15" s="350" t="s">
        <v>181</v>
      </c>
      <c r="B15" s="352" t="s">
        <v>154</v>
      </c>
      <c r="C15" s="314" t="s">
        <v>145</v>
      </c>
      <c r="D15" s="323"/>
      <c r="Y15" s="346" t="b">
        <f t="shared" ref="Y15:Y20" si="0">Z15=""</f>
        <v>1</v>
      </c>
      <c r="Z15" s="3" t="str">
        <f>IF(B26&gt;8000,"Travel Costs higher than avererage. Please provide details in the comments section","")</f>
        <v/>
      </c>
    </row>
    <row r="16" spans="1:27" ht="15.95" thickBot="1">
      <c r="A16" s="293" t="s">
        <v>97</v>
      </c>
      <c r="B16" s="217">
        <v>0</v>
      </c>
      <c r="C16" s="433"/>
      <c r="D16" s="285"/>
      <c r="E16" s="3"/>
      <c r="F16" s="3"/>
      <c r="G16" s="3"/>
      <c r="H16" s="3"/>
      <c r="I16" s="3"/>
      <c r="J16" s="3"/>
      <c r="K16" s="3"/>
      <c r="L16" s="3"/>
      <c r="M16" s="3"/>
      <c r="N16" s="3"/>
      <c r="O16" s="3"/>
      <c r="P16" s="3"/>
      <c r="Q16" s="3"/>
      <c r="R16" s="3"/>
      <c r="S16" s="3"/>
      <c r="T16" s="3"/>
      <c r="U16" s="3"/>
      <c r="V16" s="3"/>
      <c r="W16" s="3"/>
      <c r="X16" s="3"/>
      <c r="Y16" s="346" t="b">
        <f t="shared" si="0"/>
        <v>1</v>
      </c>
      <c r="Z16" s="3" t="str">
        <f>IF(AND(B27&lt;4000,B27&gt;1),"Professional development Coordinator lower than avererage. Please provide details in the comments section","")</f>
        <v/>
      </c>
    </row>
    <row r="17" spans="1:26" ht="15.95" thickBot="1">
      <c r="A17" s="293" t="s">
        <v>98</v>
      </c>
      <c r="B17" s="217">
        <v>0</v>
      </c>
      <c r="C17" s="433"/>
      <c r="D17" s="285"/>
      <c r="E17" s="3"/>
      <c r="F17" s="3"/>
      <c r="G17" s="3"/>
      <c r="H17" s="3"/>
      <c r="I17" s="3"/>
      <c r="J17" s="3"/>
      <c r="K17" s="3"/>
      <c r="L17" s="3"/>
      <c r="M17" s="3"/>
      <c r="N17" s="3"/>
      <c r="O17" s="3"/>
      <c r="P17" s="3"/>
      <c r="Q17" s="3"/>
      <c r="R17" s="3"/>
      <c r="S17" s="3"/>
      <c r="T17" s="3"/>
      <c r="U17" s="3"/>
      <c r="V17" s="3"/>
      <c r="W17" s="3"/>
      <c r="X17" s="3"/>
      <c r="Y17" s="346" t="b">
        <f t="shared" si="0"/>
        <v>1</v>
      </c>
      <c r="Z17" s="3" t="str">
        <f>IF(B27&gt;5000,"Professional development Coordinator higher than avererage. Please provide details in the comments section","")</f>
        <v/>
      </c>
    </row>
    <row r="18" spans="1:26" ht="15.95" thickBot="1">
      <c r="A18" s="293" t="s">
        <v>99</v>
      </c>
      <c r="B18" s="217">
        <v>0</v>
      </c>
      <c r="C18" s="429"/>
      <c r="D18" s="285"/>
      <c r="E18" s="3"/>
      <c r="F18" s="3"/>
      <c r="G18" s="3"/>
      <c r="H18" s="3"/>
      <c r="I18" s="3"/>
      <c r="J18" s="3"/>
      <c r="K18" s="3"/>
      <c r="L18" s="3"/>
      <c r="M18" s="3"/>
      <c r="N18" s="3"/>
      <c r="O18" s="3"/>
      <c r="P18" s="3"/>
      <c r="Q18" s="3"/>
      <c r="R18" s="3"/>
      <c r="S18" s="3"/>
      <c r="T18" s="3"/>
      <c r="U18" s="3"/>
      <c r="V18" s="3"/>
      <c r="W18" s="3"/>
      <c r="X18" s="3"/>
      <c r="Y18" s="346" t="b">
        <f t="shared" si="0"/>
        <v>1</v>
      </c>
      <c r="Z18" s="3" t="str">
        <f>IF(AND(B28&lt;8000,B28&gt;1),"Professional development Tutors lower than avererage. Please provide details in the comments section","")</f>
        <v/>
      </c>
    </row>
    <row r="19" spans="1:26" ht="15.95" thickBot="1">
      <c r="A19" s="293" t="s">
        <v>100</v>
      </c>
      <c r="B19" s="217">
        <v>0</v>
      </c>
      <c r="C19" s="433"/>
      <c r="D19" s="285"/>
      <c r="E19" s="3"/>
      <c r="F19" s="3"/>
      <c r="G19" s="3"/>
      <c r="H19" s="3"/>
      <c r="I19" s="3"/>
      <c r="J19" s="3"/>
      <c r="K19" s="3"/>
      <c r="L19" s="3"/>
      <c r="M19" s="3"/>
      <c r="N19" s="3"/>
      <c r="O19" s="3"/>
      <c r="P19" s="3"/>
      <c r="Q19" s="3"/>
      <c r="R19" s="3"/>
      <c r="S19" s="3"/>
      <c r="T19" s="3"/>
      <c r="U19" s="3"/>
      <c r="V19" s="3"/>
      <c r="W19" s="3"/>
      <c r="X19" s="3"/>
      <c r="Y19" s="346" t="b">
        <f t="shared" si="0"/>
        <v>1</v>
      </c>
      <c r="Z19" s="3" t="str">
        <f>IF(B28&gt;14000,"Professional development Tutor higher than avererage. Please provide details in the comments section","")</f>
        <v/>
      </c>
    </row>
    <row r="20" spans="1:26" s="123" customFormat="1" ht="30.95">
      <c r="A20" s="351" t="s">
        <v>182</v>
      </c>
      <c r="B20" s="352" t="s">
        <v>154</v>
      </c>
      <c r="C20" s="314" t="s">
        <v>145</v>
      </c>
      <c r="D20" s="323"/>
      <c r="Y20" s="346" t="b">
        <f t="shared" si="0"/>
        <v>1</v>
      </c>
      <c r="Z20" s="3" t="str">
        <f>IF(B23&gt;10000,"Meeting and Gatherings higher than average, please provide details in the comments section","")</f>
        <v/>
      </c>
    </row>
    <row r="21" spans="1:26" ht="15.95" thickBot="1">
      <c r="A21" s="293" t="s">
        <v>103</v>
      </c>
      <c r="B21" s="217">
        <v>0</v>
      </c>
      <c r="C21" s="425"/>
      <c r="D21" s="285"/>
      <c r="E21" s="3"/>
      <c r="F21" s="3"/>
      <c r="G21" s="3"/>
      <c r="H21" s="3"/>
      <c r="I21" s="3"/>
      <c r="J21" s="3"/>
      <c r="K21" s="3"/>
      <c r="L21" s="3"/>
      <c r="M21" s="3"/>
      <c r="N21" s="3"/>
      <c r="O21" s="3"/>
      <c r="P21" s="3"/>
      <c r="Q21" s="3"/>
      <c r="R21" s="3"/>
      <c r="S21" s="3"/>
      <c r="T21" s="3"/>
      <c r="U21" s="3"/>
      <c r="V21" s="3"/>
      <c r="W21" s="3"/>
      <c r="X21" s="3"/>
      <c r="Y21" s="123"/>
    </row>
    <row r="22" spans="1:26" ht="15.95" thickBot="1">
      <c r="A22" s="293" t="s">
        <v>104</v>
      </c>
      <c r="B22" s="234">
        <v>0</v>
      </c>
      <c r="C22" s="426"/>
      <c r="D22" s="285"/>
      <c r="E22" s="3"/>
      <c r="F22" s="3"/>
      <c r="G22" s="3"/>
      <c r="H22" s="3"/>
      <c r="I22" s="3"/>
      <c r="J22" s="3"/>
      <c r="K22" s="3"/>
      <c r="L22" s="3"/>
      <c r="M22" s="3"/>
      <c r="N22" s="3"/>
      <c r="O22" s="3"/>
      <c r="P22" s="3"/>
      <c r="Q22" s="3"/>
      <c r="R22" s="3"/>
      <c r="S22" s="3"/>
      <c r="T22" s="3"/>
      <c r="U22" s="3"/>
      <c r="V22" s="3"/>
      <c r="W22" s="3"/>
      <c r="X22" s="3"/>
      <c r="Y22" s="123"/>
    </row>
    <row r="23" spans="1:26" ht="15.95" thickBot="1">
      <c r="A23" s="293" t="s">
        <v>105</v>
      </c>
      <c r="B23" s="234">
        <v>0</v>
      </c>
      <c r="C23" s="426"/>
      <c r="D23" s="285"/>
      <c r="E23" s="3"/>
      <c r="F23" s="3"/>
      <c r="G23" s="3"/>
      <c r="H23" s="3"/>
      <c r="I23" s="3"/>
      <c r="J23" s="3"/>
      <c r="K23" s="3"/>
      <c r="L23" s="3"/>
      <c r="M23" s="3"/>
      <c r="N23" s="3"/>
      <c r="O23" s="3"/>
      <c r="P23" s="3"/>
      <c r="Q23" s="3"/>
      <c r="R23" s="3"/>
      <c r="S23" s="3"/>
      <c r="T23" s="3"/>
      <c r="U23" s="3"/>
      <c r="V23" s="3"/>
      <c r="W23" s="3"/>
      <c r="X23" s="3"/>
      <c r="Y23" s="123"/>
    </row>
    <row r="24" spans="1:26" ht="15.95" thickBot="1">
      <c r="A24" s="293" t="s">
        <v>106</v>
      </c>
      <c r="B24" s="217">
        <v>0</v>
      </c>
      <c r="C24" s="426"/>
      <c r="D24" s="285"/>
      <c r="E24" s="3"/>
      <c r="F24" s="3"/>
      <c r="G24" s="3"/>
      <c r="H24" s="3"/>
      <c r="I24" s="3"/>
      <c r="J24" s="3"/>
      <c r="K24" s="3"/>
      <c r="L24" s="3"/>
      <c r="M24" s="3"/>
      <c r="N24" s="3"/>
      <c r="O24" s="3"/>
      <c r="P24" s="3"/>
      <c r="Q24" s="3"/>
      <c r="R24" s="3"/>
      <c r="S24" s="3"/>
      <c r="T24" s="3"/>
      <c r="U24" s="3"/>
      <c r="V24" s="3"/>
      <c r="W24" s="3"/>
      <c r="X24" s="3"/>
      <c r="Y24" s="152"/>
    </row>
    <row r="25" spans="1:26" ht="15.95" thickBot="1">
      <c r="A25" s="293" t="s">
        <v>107</v>
      </c>
      <c r="B25" s="217">
        <v>0</v>
      </c>
      <c r="C25" s="426"/>
      <c r="D25" s="285"/>
      <c r="E25" s="3"/>
      <c r="F25" s="3"/>
      <c r="G25" s="3"/>
      <c r="H25" s="3"/>
      <c r="I25" s="3"/>
      <c r="J25" s="3"/>
      <c r="K25" s="3"/>
      <c r="L25" s="3"/>
      <c r="M25" s="3"/>
      <c r="N25" s="3"/>
      <c r="O25" s="3"/>
      <c r="P25" s="3"/>
      <c r="Q25" s="3"/>
      <c r="R25" s="3"/>
      <c r="S25" s="3"/>
      <c r="T25" s="3"/>
      <c r="U25" s="3"/>
      <c r="V25" s="3"/>
      <c r="W25" s="3"/>
      <c r="X25" s="3"/>
      <c r="Y25" s="123"/>
    </row>
    <row r="26" spans="1:26" ht="15.95" thickBot="1">
      <c r="A26" s="293" t="s">
        <v>108</v>
      </c>
      <c r="B26" s="217">
        <v>0</v>
      </c>
      <c r="C26" s="427"/>
      <c r="D26" s="285"/>
      <c r="E26" s="3"/>
      <c r="F26" s="3"/>
      <c r="G26" s="3"/>
      <c r="H26" s="3"/>
      <c r="I26" s="3"/>
      <c r="J26" s="3"/>
      <c r="K26" s="3"/>
      <c r="L26" s="3"/>
      <c r="M26" s="3"/>
      <c r="N26" s="3"/>
      <c r="O26" s="3"/>
      <c r="P26" s="3"/>
      <c r="Q26" s="3"/>
      <c r="R26" s="3"/>
      <c r="S26" s="3"/>
      <c r="T26" s="3"/>
      <c r="U26" s="3"/>
      <c r="V26" s="3"/>
      <c r="W26" s="3"/>
      <c r="X26" s="3"/>
      <c r="Y26" s="123"/>
    </row>
    <row r="27" spans="1:26" ht="15.95" thickBot="1">
      <c r="A27" s="293" t="s">
        <v>109</v>
      </c>
      <c r="B27" s="217">
        <v>0</v>
      </c>
      <c r="C27" s="428"/>
      <c r="D27" s="285"/>
      <c r="E27" s="3"/>
      <c r="F27" s="3"/>
      <c r="G27" s="3"/>
      <c r="H27" s="3"/>
      <c r="I27" s="3"/>
      <c r="J27" s="3"/>
      <c r="K27" s="3"/>
      <c r="L27" s="3"/>
      <c r="M27" s="3"/>
      <c r="N27" s="3"/>
      <c r="O27" s="3"/>
      <c r="P27" s="3"/>
      <c r="Q27" s="3"/>
      <c r="R27" s="3"/>
      <c r="S27" s="3"/>
      <c r="T27" s="3"/>
      <c r="U27" s="3"/>
      <c r="V27" s="3"/>
      <c r="W27" s="3"/>
      <c r="X27" s="3"/>
      <c r="Y27" s="123"/>
    </row>
    <row r="28" spans="1:26" ht="15.95" thickBot="1">
      <c r="A28" s="293" t="s">
        <v>110</v>
      </c>
      <c r="B28" s="217">
        <v>0</v>
      </c>
      <c r="C28" s="428"/>
      <c r="D28" s="285"/>
      <c r="E28" s="3"/>
      <c r="F28" s="3"/>
      <c r="G28" s="3"/>
      <c r="H28" s="3"/>
      <c r="I28" s="3"/>
      <c r="J28" s="3"/>
      <c r="K28" s="3"/>
      <c r="L28" s="3"/>
      <c r="M28" s="3"/>
      <c r="N28" s="3"/>
      <c r="O28" s="3"/>
      <c r="P28" s="3"/>
      <c r="Q28" s="3"/>
      <c r="R28" s="3"/>
      <c r="S28" s="3"/>
      <c r="T28" s="3"/>
      <c r="U28" s="3"/>
      <c r="V28" s="3"/>
      <c r="W28" s="3"/>
      <c r="X28" s="3"/>
      <c r="Y28" s="123"/>
    </row>
    <row r="29" spans="1:26" ht="15.95" thickBot="1">
      <c r="A29" s="293" t="s">
        <v>183</v>
      </c>
      <c r="B29" s="217">
        <v>0</v>
      </c>
      <c r="C29" s="427"/>
      <c r="D29" s="285"/>
      <c r="E29" s="3"/>
      <c r="F29" s="3"/>
      <c r="G29" s="3"/>
      <c r="H29" s="3"/>
      <c r="I29" s="3"/>
      <c r="J29" s="3"/>
      <c r="K29" s="3"/>
      <c r="L29" s="3"/>
      <c r="M29" s="3"/>
      <c r="N29" s="3"/>
      <c r="O29" s="3"/>
      <c r="P29" s="3"/>
      <c r="Q29" s="3"/>
      <c r="R29" s="3"/>
      <c r="S29" s="3"/>
      <c r="T29" s="3"/>
      <c r="U29" s="3"/>
      <c r="V29" s="3"/>
      <c r="W29" s="3"/>
      <c r="X29" s="3"/>
      <c r="Y29" s="123"/>
    </row>
    <row r="30" spans="1:26" ht="15.95" thickBot="1">
      <c r="A30" s="355" t="s">
        <v>184</v>
      </c>
      <c r="B30" s="356">
        <f>SUM(B21:B29,B19,B18,B17,B16)</f>
        <v>0</v>
      </c>
      <c r="C30" s="357"/>
      <c r="D30" s="285"/>
      <c r="E30" s="3"/>
      <c r="F30" s="3"/>
      <c r="G30" s="3"/>
      <c r="H30" s="3"/>
      <c r="I30" s="3"/>
      <c r="J30" s="3"/>
      <c r="K30" s="3"/>
      <c r="L30" s="3"/>
      <c r="M30" s="3"/>
      <c r="N30" s="3"/>
      <c r="O30" s="3"/>
      <c r="P30" s="3"/>
      <c r="Q30" s="3"/>
      <c r="R30" s="3"/>
      <c r="S30" s="3"/>
      <c r="T30" s="3"/>
      <c r="U30" s="3"/>
      <c r="V30" s="3"/>
      <c r="W30" s="3"/>
      <c r="X30" s="3"/>
      <c r="Y30" s="347"/>
      <c r="Z30" s="188"/>
    </row>
    <row r="31" spans="1:26" ht="15.95" thickBot="1">
      <c r="A31" s="355" t="s">
        <v>185</v>
      </c>
      <c r="B31" s="359">
        <f>IFERROR(#REF!/B12,0)</f>
        <v>0</v>
      </c>
      <c r="C31" s="358"/>
      <c r="D31" s="285"/>
      <c r="E31" s="3"/>
      <c r="F31" s="3"/>
      <c r="G31" s="3"/>
      <c r="H31" s="3"/>
      <c r="I31" s="3"/>
      <c r="J31" s="3"/>
      <c r="K31" s="3"/>
      <c r="L31" s="3"/>
      <c r="M31" s="3"/>
      <c r="N31" s="3"/>
      <c r="O31" s="3"/>
      <c r="P31" s="3"/>
      <c r="Q31" s="3"/>
      <c r="R31" s="3"/>
      <c r="S31" s="3"/>
      <c r="T31" s="3"/>
      <c r="U31" s="3"/>
      <c r="V31" s="3"/>
      <c r="W31" s="3"/>
      <c r="X31" s="3"/>
      <c r="Y31" s="348"/>
      <c r="Z31" s="189"/>
    </row>
    <row r="32" spans="1:26" ht="15.6">
      <c r="A32" s="326"/>
      <c r="B32" s="327"/>
      <c r="C32" s="328"/>
      <c r="D32" s="285"/>
      <c r="E32" s="3"/>
      <c r="F32" s="3"/>
      <c r="G32" s="3"/>
      <c r="H32" s="3"/>
      <c r="I32" s="3"/>
      <c r="J32" s="3"/>
      <c r="K32" s="3"/>
      <c r="L32" s="3"/>
      <c r="M32" s="3"/>
      <c r="N32" s="3"/>
      <c r="O32" s="3"/>
      <c r="P32" s="3"/>
      <c r="Q32" s="3"/>
      <c r="R32" s="3"/>
      <c r="S32" s="3"/>
      <c r="T32" s="3"/>
      <c r="U32" s="3"/>
      <c r="V32" s="3"/>
      <c r="W32" s="3"/>
      <c r="X32" s="3"/>
      <c r="Y32" s="349"/>
    </row>
    <row r="33" spans="1:24" ht="15.6">
      <c r="A33" s="330"/>
      <c r="B33" s="331"/>
      <c r="C33" s="331"/>
      <c r="D33" s="331"/>
      <c r="E33" s="128"/>
      <c r="F33" s="128"/>
      <c r="G33" s="128"/>
      <c r="H33" s="128"/>
      <c r="I33" s="128"/>
      <c r="J33" s="128"/>
      <c r="K33" s="128"/>
      <c r="L33" s="128"/>
      <c r="M33" s="128"/>
      <c r="N33" s="128"/>
      <c r="O33" s="128"/>
      <c r="P33" s="128"/>
      <c r="Q33" s="128"/>
      <c r="R33" s="128"/>
      <c r="S33" s="128"/>
      <c r="T33" s="128"/>
      <c r="U33" s="128"/>
      <c r="V33" s="128"/>
      <c r="W33" s="128"/>
      <c r="X33" s="128"/>
    </row>
    <row r="34" spans="1:24" ht="15.6">
      <c r="A34" s="455" t="s">
        <v>186</v>
      </c>
      <c r="B34" s="456"/>
      <c r="C34" s="456"/>
      <c r="D34" s="331"/>
      <c r="E34" s="128"/>
      <c r="F34" s="128"/>
      <c r="G34" s="128"/>
      <c r="H34" s="128"/>
      <c r="I34" s="128"/>
      <c r="J34" s="128"/>
      <c r="K34" s="128"/>
      <c r="L34" s="128"/>
      <c r="M34" s="128"/>
      <c r="N34" s="128"/>
      <c r="O34" s="128"/>
      <c r="P34" s="128"/>
      <c r="Q34" s="128"/>
      <c r="R34" s="128"/>
      <c r="S34" s="128"/>
      <c r="T34" s="128"/>
      <c r="U34" s="128"/>
      <c r="V34" s="128"/>
      <c r="W34" s="128"/>
      <c r="X34" s="128"/>
    </row>
    <row r="35" spans="1:24" ht="15.6">
      <c r="A35" s="541"/>
      <c r="B35" s="542"/>
      <c r="C35" s="543"/>
      <c r="D35" s="331"/>
      <c r="E35" s="128"/>
      <c r="F35" s="128"/>
      <c r="G35" s="128"/>
      <c r="H35" s="128"/>
      <c r="I35" s="128"/>
      <c r="J35" s="128"/>
      <c r="K35" s="128"/>
      <c r="L35" s="128"/>
      <c r="M35" s="128"/>
      <c r="N35" s="128"/>
      <c r="O35" s="128"/>
      <c r="P35" s="128"/>
      <c r="Q35" s="128"/>
      <c r="R35" s="128"/>
      <c r="S35" s="128"/>
      <c r="T35" s="128"/>
      <c r="U35" s="128"/>
      <c r="V35" s="128"/>
      <c r="W35" s="128"/>
      <c r="X35" s="128"/>
    </row>
    <row r="36" spans="1:24" ht="15.6">
      <c r="A36" s="544"/>
      <c r="B36" s="545"/>
      <c r="C36" s="546"/>
      <c r="D36" s="331"/>
      <c r="E36" s="128"/>
      <c r="F36" s="128"/>
      <c r="G36" s="128"/>
      <c r="H36" s="128"/>
      <c r="I36" s="128"/>
      <c r="J36" s="128"/>
      <c r="K36" s="128"/>
      <c r="L36" s="128"/>
      <c r="M36" s="128"/>
      <c r="N36" s="128"/>
      <c r="O36" s="128"/>
      <c r="P36" s="128"/>
      <c r="Q36" s="128"/>
      <c r="R36" s="128"/>
      <c r="S36" s="128"/>
      <c r="T36" s="128"/>
      <c r="U36" s="128"/>
      <c r="V36" s="128"/>
      <c r="W36" s="128"/>
      <c r="X36" s="128"/>
    </row>
    <row r="37" spans="1:24" ht="15.6">
      <c r="A37" s="544"/>
      <c r="B37" s="545"/>
      <c r="C37" s="546"/>
      <c r="D37" s="331"/>
      <c r="E37" s="128"/>
      <c r="F37" s="128"/>
      <c r="G37" s="128"/>
      <c r="H37" s="128"/>
      <c r="I37" s="128"/>
      <c r="J37" s="128"/>
      <c r="K37" s="128"/>
      <c r="L37" s="128"/>
      <c r="M37" s="128"/>
      <c r="N37" s="128"/>
      <c r="O37" s="128"/>
      <c r="P37" s="128"/>
      <c r="Q37" s="128"/>
      <c r="R37" s="128"/>
      <c r="S37" s="128"/>
      <c r="T37" s="128"/>
      <c r="U37" s="128"/>
      <c r="V37" s="128"/>
      <c r="W37" s="128"/>
      <c r="X37" s="128"/>
    </row>
    <row r="38" spans="1:24" ht="15.6">
      <c r="A38" s="544"/>
      <c r="B38" s="545"/>
      <c r="C38" s="546"/>
      <c r="D38" s="331"/>
      <c r="E38" s="128"/>
      <c r="F38" s="128"/>
      <c r="G38" s="128"/>
      <c r="H38" s="128"/>
      <c r="I38" s="128"/>
      <c r="J38" s="128"/>
      <c r="K38" s="128"/>
      <c r="L38" s="128"/>
      <c r="M38" s="128"/>
      <c r="N38" s="128"/>
      <c r="O38" s="128"/>
      <c r="P38" s="128"/>
      <c r="Q38" s="128"/>
      <c r="R38" s="128"/>
      <c r="S38" s="128"/>
      <c r="T38" s="128"/>
      <c r="U38" s="128"/>
      <c r="V38" s="128"/>
      <c r="W38" s="128"/>
      <c r="X38" s="128"/>
    </row>
    <row r="39" spans="1:24" ht="15.6">
      <c r="A39" s="547"/>
      <c r="B39" s="548"/>
      <c r="C39" s="549"/>
      <c r="D39" s="331"/>
      <c r="E39" s="128"/>
      <c r="F39" s="128"/>
      <c r="G39" s="128"/>
      <c r="H39" s="128"/>
      <c r="I39" s="128"/>
      <c r="J39" s="128"/>
      <c r="K39" s="128"/>
      <c r="L39" s="128"/>
      <c r="M39" s="128"/>
      <c r="N39" s="128"/>
      <c r="O39" s="128"/>
      <c r="P39" s="128"/>
      <c r="Q39" s="128"/>
      <c r="R39" s="128"/>
      <c r="S39" s="128"/>
      <c r="T39" s="128"/>
      <c r="U39" s="128"/>
      <c r="V39" s="128"/>
      <c r="W39" s="128"/>
      <c r="X39" s="128"/>
    </row>
    <row r="40" spans="1:24" ht="15.6">
      <c r="A40" s="330"/>
      <c r="B40" s="331"/>
      <c r="C40" s="331"/>
      <c r="D40" s="331"/>
      <c r="E40" s="128"/>
      <c r="F40" s="128"/>
      <c r="G40" s="128"/>
      <c r="H40" s="128"/>
      <c r="I40" s="128"/>
      <c r="J40" s="128"/>
      <c r="K40" s="128"/>
      <c r="L40" s="128"/>
      <c r="M40" s="128"/>
      <c r="N40" s="128"/>
      <c r="O40" s="128"/>
      <c r="P40" s="128"/>
      <c r="Q40" s="128"/>
      <c r="R40" s="128"/>
      <c r="S40" s="128"/>
      <c r="T40" s="128"/>
      <c r="U40" s="128"/>
      <c r="V40" s="128"/>
      <c r="W40" s="128"/>
      <c r="X40" s="128"/>
    </row>
    <row r="42" spans="1:24">
      <c r="A42" s="338" t="s">
        <v>37</v>
      </c>
    </row>
    <row r="43" spans="1:24">
      <c r="A43" s="339">
        <v>2</v>
      </c>
    </row>
    <row r="44" spans="1:24">
      <c r="A44" s="340">
        <v>45658</v>
      </c>
    </row>
    <row r="45" spans="1:24">
      <c r="A45" s="341" t="s">
        <v>187</v>
      </c>
    </row>
  </sheetData>
  <sheetProtection formatCells="0" formatColumns="0" formatRows="0" insertColumns="0" insertRows="0" deleteColumns="0" deleteRows="0"/>
  <mergeCells count="4">
    <mergeCell ref="B5:C5"/>
    <mergeCell ref="B10:C10"/>
    <mergeCell ref="A34:C34"/>
    <mergeCell ref="A35:C39"/>
  </mergeCells>
  <conditionalFormatting sqref="B12">
    <cfRule type="cellIs" dxfId="21" priority="1" operator="greaterThan">
      <formula>0</formula>
    </cfRule>
  </conditionalFormatting>
  <conditionalFormatting sqref="B16:B18">
    <cfRule type="cellIs" dxfId="20" priority="6" operator="greaterThan">
      <formula>0</formula>
    </cfRule>
  </conditionalFormatting>
  <conditionalFormatting sqref="B21:B29">
    <cfRule type="cellIs" dxfId="19" priority="4" operator="greaterThan">
      <formula>0</formula>
    </cfRule>
  </conditionalFormatting>
  <conditionalFormatting sqref="B19:C19">
    <cfRule type="expression" dxfId="18" priority="32">
      <formula>$B$19&gt;0</formula>
    </cfRule>
  </conditionalFormatting>
  <conditionalFormatting sqref="C16">
    <cfRule type="expression" dxfId="17" priority="12">
      <formula>$B$16&gt;0</formula>
    </cfRule>
  </conditionalFormatting>
  <conditionalFormatting sqref="C17">
    <cfRule type="expression" dxfId="16" priority="11">
      <formula>$B$17&gt;0</formula>
    </cfRule>
  </conditionalFormatting>
  <conditionalFormatting sqref="C18">
    <cfRule type="expression" dxfId="15" priority="5">
      <formula>$B$18&gt;0</formula>
    </cfRule>
  </conditionalFormatting>
  <conditionalFormatting sqref="C21">
    <cfRule type="expression" dxfId="14" priority="29">
      <formula>$B$21&gt;0</formula>
    </cfRule>
  </conditionalFormatting>
  <conditionalFormatting sqref="C22">
    <cfRule type="expression" dxfId="13" priority="3">
      <formula>$B$22&gt;0</formula>
    </cfRule>
  </conditionalFormatting>
  <conditionalFormatting sqref="C23">
    <cfRule type="expression" dxfId="12" priority="8">
      <formula>$B$23&gt;0</formula>
    </cfRule>
  </conditionalFormatting>
  <conditionalFormatting sqref="C24">
    <cfRule type="cellIs" dxfId="11" priority="28" operator="greaterThan">
      <formula>0</formula>
    </cfRule>
  </conditionalFormatting>
  <conditionalFormatting sqref="C25">
    <cfRule type="expression" dxfId="10" priority="2">
      <formula>$B$25&gt;0</formula>
    </cfRule>
  </conditionalFormatting>
  <conditionalFormatting sqref="C26">
    <cfRule type="expression" dxfId="9" priority="26">
      <formula>$B$26&gt;0</formula>
    </cfRule>
  </conditionalFormatting>
  <conditionalFormatting sqref="C27">
    <cfRule type="expression" dxfId="8" priority="22">
      <formula>$B$27&gt;0</formula>
    </cfRule>
  </conditionalFormatting>
  <conditionalFormatting sqref="C28">
    <cfRule type="expression" dxfId="7" priority="18">
      <formula>$B$28&gt;0</formula>
    </cfRule>
  </conditionalFormatting>
  <conditionalFormatting sqref="C29">
    <cfRule type="expression" dxfId="6" priority="16">
      <formula>$B$29&gt;0</formula>
    </cfRule>
  </conditionalFormatting>
  <hyperlinks>
    <hyperlink ref="A16" location="Instructions!A9" display="Coordinator(s)" xr:uid="{721CBED7-DBF6-41F9-9E39-0B4174FDBAFB}"/>
    <hyperlink ref="A17" location="Instructions!A10" display="Line Manager(s)" xr:uid="{F390B158-7F9F-48AE-932A-19B6CF13E806}"/>
    <hyperlink ref="A18" location="Instructions!A11" display="Tutors" xr:uid="{169B6112-848A-4931-B9E4-7CECEBEDDC47}"/>
    <hyperlink ref="A19" location="Instructions!A12" display="Other employment" xr:uid="{1F8117E3-EA4F-4551-ADC1-367812B633FF}"/>
    <hyperlink ref="A21" location="Instructions!A13" display="Property costs" xr:uid="{C284A4E9-B881-4B0C-8DF1-C3673EBCDF86}"/>
    <hyperlink ref="A22" location="Instructions!A14" display="Materials &amp; resources" xr:uid="{246DE17B-A7B8-4110-8A67-F39FDF4E2CAE}"/>
    <hyperlink ref="A23" location="Instructions!A15" display="Meetings &amp; gatherings" xr:uid="{E785FF2D-FF4E-4CE7-828B-2B5039066CD1}"/>
    <hyperlink ref="A25" location="Instructions!A17" display="Promotional costs" xr:uid="{D3A1739F-2092-4C0D-A769-D2A25DF06969}"/>
    <hyperlink ref="A26" location="Instructions!A18" display="Travel" xr:uid="{6A6FBABD-09B2-450F-81D4-A2696ED2BEF9}"/>
    <hyperlink ref="A27" location="Instructions!A19" display="Professional development - Coordinator" xr:uid="{5CE1D7BF-4C03-433D-A43F-15BF003602D0}"/>
    <hyperlink ref="A29" location="Instructions!A21" display="Other " xr:uid="{C4756D2E-A11B-480F-BE16-B97558792FD8}"/>
    <hyperlink ref="A24" location="Instructions!A16" display="Office costs" xr:uid="{4C256F4A-76A4-41FF-AC78-3C849C2C7298}"/>
    <hyperlink ref="A28" location="Instructions!A20" display="Professional development - Tutors" xr:uid="{29256C72-BFAD-47CC-A498-9D37A87FEDAD}"/>
  </hyperlinks>
  <printOptions horizontalCentered="1" verticalCentered="1"/>
  <pageMargins left="0.23622047244094491" right="0.23622047244094491" top="0.74803149606299213" bottom="0.74803149606299213" header="0.31496062992125984" footer="0.31496062992125984"/>
  <pageSetup paperSize="8" scale="90" orientation="portrait" r:id="rId1"/>
  <headerFooter>
    <oddHeader>&amp;L&amp;"Calibri"&amp;12&amp;K000000 OFFICIAL&amp;1#_x000D_</oddHeader>
  </headerFooter>
  <ignoredErrors>
    <ignoredError sqref="B11 B30:B31" unlockedFormula="1"/>
  </ignoredError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F7EB0-7BF1-417F-8A26-608CCB6B7855}">
  <sheetPr codeName="Sheet7">
    <tabColor rgb="FF00B050"/>
  </sheetPr>
  <dimension ref="A1:G45"/>
  <sheetViews>
    <sheetView tabSelected="1" topLeftCell="A5" workbookViewId="0">
      <selection activeCell="A7" sqref="A7"/>
    </sheetView>
  </sheetViews>
  <sheetFormatPr defaultColWidth="9.140625" defaultRowHeight="14.45"/>
  <cols>
    <col min="1" max="1" width="42" style="3" customWidth="1"/>
    <col min="2" max="2" width="15.7109375" style="125" customWidth="1"/>
    <col min="3" max="4" width="16.140625" style="125" customWidth="1"/>
    <col min="5" max="5" width="16.140625" style="132" customWidth="1"/>
    <col min="6" max="6" width="49.42578125" style="3" customWidth="1"/>
    <col min="7" max="7" width="3.7109375" style="3" customWidth="1"/>
    <col min="8" max="16384" width="9.140625" style="3"/>
  </cols>
  <sheetData>
    <row r="1" spans="1:7" ht="67.5" customHeight="1">
      <c r="A1" s="13"/>
      <c r="B1" s="552" t="s">
        <v>188</v>
      </c>
      <c r="C1" s="552"/>
      <c r="D1" s="552"/>
      <c r="E1" s="552"/>
      <c r="F1" s="552"/>
    </row>
    <row r="2" spans="1:7" ht="14.25" hidden="1" customHeight="1">
      <c r="A2" s="13"/>
      <c r="B2" s="142"/>
      <c r="C2" s="142"/>
      <c r="D2" s="142"/>
      <c r="E2" s="142"/>
      <c r="F2" s="142"/>
    </row>
    <row r="3" spans="1:7" ht="14.25" hidden="1" customHeight="1">
      <c r="A3" s="13"/>
      <c r="B3" s="142"/>
      <c r="C3" s="142"/>
      <c r="D3" s="142"/>
      <c r="E3" s="142"/>
      <c r="F3" s="142"/>
    </row>
    <row r="5" spans="1:7" ht="47.25" customHeight="1">
      <c r="B5" s="554" t="s">
        <v>189</v>
      </c>
      <c r="C5" s="554"/>
      <c r="D5" s="554"/>
      <c r="E5" s="554"/>
      <c r="F5" s="554"/>
    </row>
    <row r="6" spans="1:7">
      <c r="F6" s="20"/>
      <c r="G6" s="20"/>
    </row>
    <row r="7" spans="1:7" ht="20.100000000000001" customHeight="1">
      <c r="A7" s="121" t="s">
        <v>81</v>
      </c>
      <c r="B7" s="539"/>
      <c r="C7" s="553"/>
      <c r="D7" s="553"/>
      <c r="E7" s="553"/>
      <c r="F7" s="553"/>
      <c r="G7" s="20"/>
    </row>
    <row r="8" spans="1:7" ht="20.100000000000001" customHeight="1">
      <c r="A8" s="121" t="s">
        <v>82</v>
      </c>
      <c r="B8" s="288" t="str">
        <f>_xlfn.CONCAT(Lists!$I$25)</f>
        <v>FY 25/26</v>
      </c>
      <c r="C8" s="129"/>
      <c r="D8" s="129"/>
      <c r="E8" s="133"/>
      <c r="F8" s="124"/>
      <c r="G8" s="20"/>
    </row>
    <row r="9" spans="1:7" ht="15.95" thickBot="1">
      <c r="A9" s="121"/>
      <c r="B9" s="126"/>
      <c r="C9" s="130"/>
      <c r="D9" s="131"/>
      <c r="E9" s="134"/>
      <c r="F9" s="122"/>
      <c r="G9" s="20"/>
    </row>
    <row r="10" spans="1:7" ht="30.95">
      <c r="A10" s="140" t="s">
        <v>84</v>
      </c>
      <c r="B10" s="127" t="s">
        <v>190</v>
      </c>
      <c r="C10" s="127" t="s">
        <v>191</v>
      </c>
      <c r="D10" s="127" t="s">
        <v>192</v>
      </c>
      <c r="E10" s="135" t="s">
        <v>193</v>
      </c>
      <c r="F10" s="110" t="s">
        <v>194</v>
      </c>
    </row>
    <row r="11" spans="1:7" ht="15.95" thickBot="1">
      <c r="A11" s="214" t="s">
        <v>146</v>
      </c>
      <c r="B11" s="200">
        <f>'S1. FY25-26 Biannual Actuals'!D11</f>
        <v>0</v>
      </c>
      <c r="C11" s="200">
        <v>0</v>
      </c>
      <c r="D11" s="200">
        <v>0</v>
      </c>
      <c r="E11" s="136"/>
      <c r="F11" s="111"/>
    </row>
    <row r="12" spans="1:7" ht="15.6">
      <c r="A12" s="450" t="s">
        <v>123</v>
      </c>
      <c r="B12" s="451"/>
      <c r="C12" s="451"/>
      <c r="D12" s="451"/>
      <c r="E12" s="451"/>
      <c r="F12" s="451"/>
    </row>
    <row r="13" spans="1:7" ht="15.95" thickBot="1">
      <c r="A13" s="141" t="s">
        <v>91</v>
      </c>
      <c r="B13" s="201">
        <f>'S1. FY25-26 Biannual Actuals'!D13</f>
        <v>0</v>
      </c>
      <c r="C13" s="201">
        <f>'S3.1. FY26-27 Budget'!B12+'S3.2. FY26-27 Budget'!B12</f>
        <v>0</v>
      </c>
      <c r="D13" s="201">
        <f>(C13-B13)</f>
        <v>0</v>
      </c>
      <c r="E13" s="171">
        <f>IFERROR((B13/C13),0)</f>
        <v>0</v>
      </c>
      <c r="F13" s="112"/>
    </row>
    <row r="14" spans="1:7" ht="15.95" thickBot="1">
      <c r="A14" s="141" t="s">
        <v>93</v>
      </c>
      <c r="B14" s="201">
        <f>'S1. FY25-26 Biannual Actuals'!D14</f>
        <v>0</v>
      </c>
      <c r="C14" s="201">
        <f>'S3.1. FY26-27 Budget'!B13+'S3.2. FY26-27 Budget'!B13</f>
        <v>0</v>
      </c>
      <c r="D14" s="202">
        <f>(C14-B14)</f>
        <v>0</v>
      </c>
      <c r="E14" s="172">
        <f>IFERROR((B14/C14),0)</f>
        <v>0</v>
      </c>
      <c r="F14" s="113"/>
    </row>
    <row r="15" spans="1:7" ht="15.95" thickBot="1">
      <c r="A15" s="162" t="s">
        <v>94</v>
      </c>
      <c r="B15" s="199">
        <f>SUM(B13:B14)</f>
        <v>0</v>
      </c>
      <c r="C15" s="199">
        <f>SUM(C13:C14)</f>
        <v>0</v>
      </c>
      <c r="D15" s="199">
        <f>(C15-B15)</f>
        <v>0</v>
      </c>
      <c r="E15" s="173">
        <f>IFERROR((B15/C15),0)</f>
        <v>0</v>
      </c>
      <c r="F15" s="166"/>
    </row>
    <row r="16" spans="1:7" s="123" customFormat="1" ht="15.6">
      <c r="A16" s="115"/>
      <c r="B16" s="550" t="s">
        <v>155</v>
      </c>
      <c r="C16" s="550"/>
      <c r="D16" s="550"/>
      <c r="E16" s="550"/>
      <c r="F16" s="116"/>
    </row>
    <row r="17" spans="1:6" ht="15.95" thickBot="1">
      <c r="A17" s="141" t="s">
        <v>97</v>
      </c>
      <c r="B17" s="202">
        <f>'S1. FY25-26 Biannual Actuals'!D17</f>
        <v>0</v>
      </c>
      <c r="C17" s="202">
        <f>'S3.1. FY26-27 Budget'!B16+'S3.2. FY26-27 Budget'!B16</f>
        <v>0</v>
      </c>
      <c r="D17" s="203">
        <f>(C17-B17)</f>
        <v>0</v>
      </c>
      <c r="E17" s="171">
        <f t="shared" ref="E17:E21" si="0">IFERROR((B17/C17),0)</f>
        <v>0</v>
      </c>
      <c r="F17" s="112"/>
    </row>
    <row r="18" spans="1:6" ht="15.95" thickBot="1">
      <c r="A18" s="141" t="s">
        <v>98</v>
      </c>
      <c r="B18" s="202">
        <f>'S1. FY25-26 Biannual Actuals'!D18</f>
        <v>0</v>
      </c>
      <c r="C18" s="202">
        <f>'S3.1. FY26-27 Budget'!B17+'S3.2. FY26-27 Budget'!B17</f>
        <v>0</v>
      </c>
      <c r="D18" s="203">
        <f>(C18-B18)</f>
        <v>0</v>
      </c>
      <c r="E18" s="171">
        <f t="shared" si="0"/>
        <v>0</v>
      </c>
      <c r="F18" s="112"/>
    </row>
    <row r="19" spans="1:6" ht="15.95" thickBot="1">
      <c r="A19" s="141" t="s">
        <v>99</v>
      </c>
      <c r="B19" s="202">
        <f>'S1. FY25-26 Biannual Actuals'!D19</f>
        <v>0</v>
      </c>
      <c r="C19" s="202">
        <f>'S3.1. FY26-27 Budget'!B18+'S3.2. FY26-27 Budget'!B18</f>
        <v>0</v>
      </c>
      <c r="D19" s="203">
        <f>(C19-B19)</f>
        <v>0</v>
      </c>
      <c r="E19" s="171">
        <f t="shared" si="0"/>
        <v>0</v>
      </c>
      <c r="F19" s="112"/>
    </row>
    <row r="20" spans="1:6" ht="15.95" thickBot="1">
      <c r="A20" s="141" t="s">
        <v>100</v>
      </c>
      <c r="B20" s="202">
        <f>'S1. FY25-26 Biannual Actuals'!D20</f>
        <v>0</v>
      </c>
      <c r="C20" s="202">
        <f>'S3.1. FY26-27 Budget'!B19+'S3.2. FY26-27 Budget'!B19</f>
        <v>0</v>
      </c>
      <c r="D20" s="203">
        <f>(C20-B20)</f>
        <v>0</v>
      </c>
      <c r="E20" s="171">
        <f t="shared" si="0"/>
        <v>0</v>
      </c>
      <c r="F20" s="112"/>
    </row>
    <row r="21" spans="1:6" ht="15.6">
      <c r="A21" s="162" t="s">
        <v>101</v>
      </c>
      <c r="B21" s="199">
        <f>SUM(B17:B20)</f>
        <v>0</v>
      </c>
      <c r="C21" s="199">
        <f>SUM(C17:C20)</f>
        <v>0</v>
      </c>
      <c r="D21" s="199">
        <f>SUM(D17:D20)</f>
        <v>0</v>
      </c>
      <c r="E21" s="173">
        <f t="shared" si="0"/>
        <v>0</v>
      </c>
      <c r="F21" s="167"/>
    </row>
    <row r="22" spans="1:6" s="123" customFormat="1" ht="15.95" thickBot="1">
      <c r="A22" s="117"/>
      <c r="B22" s="551" t="s">
        <v>156</v>
      </c>
      <c r="C22" s="551"/>
      <c r="D22" s="551"/>
      <c r="E22" s="551"/>
      <c r="F22" s="116"/>
    </row>
    <row r="23" spans="1:6" ht="15.95" thickBot="1">
      <c r="A23" s="141" t="s">
        <v>103</v>
      </c>
      <c r="B23" s="202">
        <f>'S1. FY25-26 Biannual Actuals'!D23</f>
        <v>0</v>
      </c>
      <c r="C23" s="202">
        <f>'S3.1. FY26-27 Budget'!B22+'S3.2. FY26-27 Budget'!B22</f>
        <v>0</v>
      </c>
      <c r="D23" s="204">
        <f t="shared" ref="D23:D34" si="1">(C23-B23)</f>
        <v>0</v>
      </c>
      <c r="E23" s="171">
        <f t="shared" ref="E23:E35" si="2">IFERROR((B23/C23),0)</f>
        <v>0</v>
      </c>
      <c r="F23" s="112"/>
    </row>
    <row r="24" spans="1:6" ht="15.95" thickBot="1">
      <c r="A24" s="141" t="s">
        <v>104</v>
      </c>
      <c r="B24" s="202">
        <f>'S1. FY25-26 Biannual Actuals'!D24</f>
        <v>0</v>
      </c>
      <c r="C24" s="202">
        <f>'S3.1. FY26-27 Budget'!B23+'S3.2. FY26-27 Budget'!B23</f>
        <v>0</v>
      </c>
      <c r="D24" s="204">
        <f t="shared" si="1"/>
        <v>0</v>
      </c>
      <c r="E24" s="171">
        <f t="shared" si="2"/>
        <v>0</v>
      </c>
      <c r="F24" s="112"/>
    </row>
    <row r="25" spans="1:6" ht="15.95" thickBot="1">
      <c r="A25" s="141" t="s">
        <v>105</v>
      </c>
      <c r="B25" s="202">
        <f>'S1. FY25-26 Biannual Actuals'!D25</f>
        <v>0</v>
      </c>
      <c r="C25" s="202">
        <f>'S3.1. FY26-27 Budget'!B24+'S3.2. FY26-27 Budget'!B24</f>
        <v>0</v>
      </c>
      <c r="D25" s="204">
        <f t="shared" si="1"/>
        <v>0</v>
      </c>
      <c r="E25" s="171">
        <f t="shared" si="2"/>
        <v>0</v>
      </c>
      <c r="F25" s="112"/>
    </row>
    <row r="26" spans="1:6" ht="15.95" thickBot="1">
      <c r="A26" s="141" t="s">
        <v>106</v>
      </c>
      <c r="B26" s="202">
        <f>'S1. FY25-26 Biannual Actuals'!D26</f>
        <v>0</v>
      </c>
      <c r="C26" s="202">
        <f>'S3.1. FY26-27 Budget'!B25+'S3.2. FY26-27 Budget'!B25</f>
        <v>0</v>
      </c>
      <c r="D26" s="204">
        <f t="shared" si="1"/>
        <v>0</v>
      </c>
      <c r="E26" s="171">
        <f t="shared" si="2"/>
        <v>0</v>
      </c>
      <c r="F26" s="112"/>
    </row>
    <row r="27" spans="1:6" ht="15.95" thickBot="1">
      <c r="A27" s="141" t="s">
        <v>107</v>
      </c>
      <c r="B27" s="202">
        <f>'S1. FY25-26 Biannual Actuals'!D27</f>
        <v>0</v>
      </c>
      <c r="C27" s="202">
        <f>'S3.1. FY26-27 Budget'!B26+'S3.2. FY26-27 Budget'!B26</f>
        <v>0</v>
      </c>
      <c r="D27" s="204">
        <f t="shared" si="1"/>
        <v>0</v>
      </c>
      <c r="E27" s="171">
        <f t="shared" si="2"/>
        <v>0</v>
      </c>
      <c r="F27" s="112"/>
    </row>
    <row r="28" spans="1:6" ht="15.95" thickBot="1">
      <c r="A28" s="141" t="s">
        <v>108</v>
      </c>
      <c r="B28" s="202">
        <f>'S1. FY25-26 Biannual Actuals'!D28</f>
        <v>0</v>
      </c>
      <c r="C28" s="202">
        <f>'S3.1. FY26-27 Budget'!B27+'S3.2. FY26-27 Budget'!B27</f>
        <v>0</v>
      </c>
      <c r="D28" s="204">
        <f t="shared" si="1"/>
        <v>0</v>
      </c>
      <c r="E28" s="171">
        <f t="shared" si="2"/>
        <v>0</v>
      </c>
      <c r="F28" s="112"/>
    </row>
    <row r="29" spans="1:6" ht="15.95" thickBot="1">
      <c r="A29" s="141" t="s">
        <v>109</v>
      </c>
      <c r="B29" s="202">
        <f>'S1. FY25-26 Biannual Actuals'!D29</f>
        <v>0</v>
      </c>
      <c r="C29" s="202">
        <f>'S3.1. FY26-27 Budget'!B28+'S3.2. FY26-27 Budget'!B28</f>
        <v>0</v>
      </c>
      <c r="D29" s="203">
        <f>(C30-B29)</f>
        <v>0</v>
      </c>
      <c r="E29" s="171">
        <f>IFERROR((B29/C30),0)</f>
        <v>0</v>
      </c>
      <c r="F29" s="112"/>
    </row>
    <row r="30" spans="1:6" ht="15.95" thickBot="1">
      <c r="A30" s="141" t="s">
        <v>110</v>
      </c>
      <c r="B30" s="202">
        <f>'S1. FY25-26 Biannual Actuals'!D30</f>
        <v>0</v>
      </c>
      <c r="C30" s="202">
        <f>'S3.1. FY26-27 Budget'!B29+'S3.2. FY26-27 Budget'!B29</f>
        <v>0</v>
      </c>
      <c r="D30" s="203">
        <f>(C31-B30)</f>
        <v>0</v>
      </c>
      <c r="E30" s="171">
        <f>IFERROR((B30/C31),0)</f>
        <v>0</v>
      </c>
      <c r="F30" s="112"/>
    </row>
    <row r="31" spans="1:6" ht="15.95" thickBot="1">
      <c r="A31" s="141" t="s">
        <v>111</v>
      </c>
      <c r="B31" s="202">
        <f>'S1. FY25-26 Biannual Actuals'!D31</f>
        <v>0</v>
      </c>
      <c r="C31" s="202">
        <f>'S3.1. FY26-27 Budget'!B30+'S3.2. FY26-27 Budget'!B30</f>
        <v>0</v>
      </c>
      <c r="D31" s="205">
        <f t="shared" si="1"/>
        <v>0</v>
      </c>
      <c r="E31" s="171">
        <f t="shared" si="2"/>
        <v>0</v>
      </c>
      <c r="F31" s="112"/>
    </row>
    <row r="32" spans="1:6" ht="15.95" thickBot="1">
      <c r="A32" s="141" t="s">
        <v>112</v>
      </c>
      <c r="B32" s="202">
        <f>'S1. FY25-26 Biannual Actuals'!D32</f>
        <v>0</v>
      </c>
      <c r="C32" s="202">
        <f>'S3.1. FY26-27 Budget'!B31+'S3.2. FY26-27 Budget'!B31</f>
        <v>0</v>
      </c>
      <c r="D32" s="206">
        <f t="shared" si="1"/>
        <v>0</v>
      </c>
      <c r="E32" s="171">
        <f t="shared" si="2"/>
        <v>0</v>
      </c>
      <c r="F32" s="112"/>
    </row>
    <row r="33" spans="1:7" ht="15.95" thickBot="1">
      <c r="A33" s="168" t="s">
        <v>113</v>
      </c>
      <c r="B33" s="199">
        <f>SUM(B23:B32)</f>
        <v>0</v>
      </c>
      <c r="C33" s="199">
        <f>SUM(C23:C32)</f>
        <v>0</v>
      </c>
      <c r="D33" s="199">
        <f t="shared" si="1"/>
        <v>0</v>
      </c>
      <c r="E33" s="173">
        <f t="shared" si="2"/>
        <v>0</v>
      </c>
      <c r="F33" s="169"/>
    </row>
    <row r="34" spans="1:7" ht="15.95" thickBot="1">
      <c r="A34" s="168" t="s">
        <v>114</v>
      </c>
      <c r="B34" s="199">
        <f>SUM(B33+B21)</f>
        <v>0</v>
      </c>
      <c r="C34" s="199">
        <f>SUM(C33+C21)</f>
        <v>0</v>
      </c>
      <c r="D34" s="199">
        <f t="shared" si="1"/>
        <v>0</v>
      </c>
      <c r="E34" s="173">
        <f t="shared" si="2"/>
        <v>0</v>
      </c>
      <c r="F34" s="169"/>
    </row>
    <row r="35" spans="1:7" ht="15.95" thickBot="1">
      <c r="A35" s="168" t="s">
        <v>157</v>
      </c>
      <c r="B35" s="199">
        <f>B34+B15-B11</f>
        <v>0</v>
      </c>
      <c r="C35" s="199">
        <f t="shared" ref="C35:D35" si="3">C34+C15-C11</f>
        <v>0</v>
      </c>
      <c r="D35" s="199">
        <f t="shared" si="3"/>
        <v>0</v>
      </c>
      <c r="E35" s="173">
        <f t="shared" si="2"/>
        <v>0</v>
      </c>
      <c r="F35" s="170"/>
    </row>
    <row r="36" spans="1:7" ht="15.6">
      <c r="A36" s="114"/>
      <c r="B36" s="128"/>
      <c r="C36" s="128"/>
      <c r="D36" s="128"/>
      <c r="E36" s="137"/>
      <c r="F36" s="114"/>
      <c r="G36" s="7"/>
    </row>
    <row r="38" spans="1:7">
      <c r="A38" s="363" t="s">
        <v>37</v>
      </c>
    </row>
    <row r="39" spans="1:7">
      <c r="A39" s="364">
        <v>2</v>
      </c>
      <c r="B39" s="364"/>
      <c r="C39" s="365"/>
      <c r="D39" s="366"/>
    </row>
    <row r="40" spans="1:7">
      <c r="A40" s="365">
        <v>45658</v>
      </c>
    </row>
    <row r="41" spans="1:7">
      <c r="A41" s="366" t="s">
        <v>195</v>
      </c>
    </row>
    <row r="45" spans="1:7" ht="15.6">
      <c r="A45" s="118"/>
    </row>
  </sheetData>
  <sheetProtection algorithmName="SHA-512" hashValue="0l/0HJNgsbyuFj6zx/IJnW6XGrs8C058ToNgDCibQUnUCyW4OBoheerJWr+t1f0uBisTzhP1VMPK0ROlT5CtXQ==" saltValue="fRPO0WnNqOEF2bjOtHeK5Q==" spinCount="100000" sheet="1" formatCells="0" formatColumns="0" formatRows="0" deleteColumns="0" deleteRows="0"/>
  <mergeCells count="6">
    <mergeCell ref="B16:E16"/>
    <mergeCell ref="B22:E22"/>
    <mergeCell ref="A12:F12"/>
    <mergeCell ref="B1:F1"/>
    <mergeCell ref="B7:F7"/>
    <mergeCell ref="B5:F5"/>
  </mergeCells>
  <hyperlinks>
    <hyperlink ref="A11" location="Instructions!A6" display="Approved FY22/23 surplus" xr:uid="{1E3798A7-12FB-4A92-9049-474688085C7B}"/>
    <hyperlink ref="A13" location="Instructions!A7" display="Income from HIPPY Australia" xr:uid="{609979A1-8CB4-4F14-8FDF-9EDC6EB46EF9}"/>
    <hyperlink ref="A14" location="Instructions!A8" display="Other income" xr:uid="{F026123D-8F1B-41DB-A5D3-FA949E4FB7A0}"/>
    <hyperlink ref="A17" location="Instructions!A9" display="Coordinator(s)" xr:uid="{4E90BD35-ABC3-4474-AF54-D85AC2064F18}"/>
    <hyperlink ref="A18" location="Instructions!A10" display="Line Manager(s)" xr:uid="{41CF7251-8545-4C71-8CFF-6EDE161CA312}"/>
    <hyperlink ref="A19" location="Instructions!A11" display="Tutors" xr:uid="{224E9831-F3A4-4458-BEAE-5E365CF601A7}"/>
    <hyperlink ref="A20" location="Instructions!A12" display="Other employment" xr:uid="{35A7FEAC-9F11-4CB4-AC84-109F6C438245}"/>
    <hyperlink ref="A23" location="Instructions!A13" display="Property costs" xr:uid="{B226382C-F807-44B0-BBE3-EA95D4487BE1}"/>
    <hyperlink ref="A24" location="Instructions!A14" display="Materials &amp; resources" xr:uid="{2BA5ECB7-4352-4C01-8EF3-7E1787F5AD34}"/>
    <hyperlink ref="A25" location="Instructions!A15" display="Meetings &amp; gatherings" xr:uid="{BD99BADF-644F-4795-9DD7-BF5936C2A272}"/>
    <hyperlink ref="A27" location="Instructions!A17" display="Promotional costs" xr:uid="{BFA820D0-7F7C-44A7-81B6-B8DA929F733A}"/>
    <hyperlink ref="A28" location="Instructions!A18" display="Travel" xr:uid="{EF2F7BCB-54C4-4903-83E1-08787674DCA4}"/>
    <hyperlink ref="A29" location="Instructions!A19" display="Professional development - Coordinator" xr:uid="{A4C413E5-54E7-4302-AFFB-D7B4E0E967F7}"/>
    <hyperlink ref="A31" location="Instructions!A21" display="Other " xr:uid="{EA0C2413-36E3-4FDE-9F16-7A139FDEFB85}"/>
    <hyperlink ref="A26" location="Instructions!A16" display="Office costs" xr:uid="{94EBAC29-6A6D-4CF7-9BC9-2F965C218ED3}"/>
    <hyperlink ref="A30" location="Instructions!A20" display="Professional development - Tutors" xr:uid="{5CD76D1B-7C67-43B2-AC53-E173ECD8C684}"/>
    <hyperlink ref="A32" location="Instructions!A22" display="Overhead costs" xr:uid="{7D6FC40C-7E22-4742-86DA-37EA565A8DAA}"/>
  </hyperlinks>
  <printOptions horizontalCentered="1" verticalCentered="1"/>
  <pageMargins left="0.23622047244094491" right="0.23622047244094491" top="0.74803149606299213" bottom="0.74803149606299213" header="0.31496062992125984" footer="0.31496062992125984"/>
  <pageSetup paperSize="9" scale="65" orientation="portrait" r:id="rId1"/>
  <headerFooter>
    <oddHeader>&amp;L&amp;"Calibri"&amp;12&amp;K000000 OFFICIAL&amp;1#_x000D_</oddHeader>
  </headerFooter>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AE521-3997-4722-A3BC-353D20666CEB}">
  <sheetPr codeName="Sheet8">
    <tabColor rgb="FF00B050"/>
  </sheetPr>
  <dimension ref="A1:L30"/>
  <sheetViews>
    <sheetView workbookViewId="0"/>
  </sheetViews>
  <sheetFormatPr defaultColWidth="9.140625" defaultRowHeight="14.45"/>
  <cols>
    <col min="1" max="1" width="43.5703125" style="3" customWidth="1"/>
    <col min="2" max="2" width="21.7109375" style="3" customWidth="1"/>
    <col min="3" max="3" width="26.42578125" style="3" customWidth="1"/>
    <col min="4" max="4" width="19.42578125" style="3" customWidth="1"/>
    <col min="5" max="5" width="20" style="3" customWidth="1"/>
    <col min="6" max="11" width="9.140625" style="3"/>
    <col min="12" max="12" width="10.140625" style="3" bestFit="1" customWidth="1"/>
    <col min="13" max="16384" width="9.140625" style="3"/>
  </cols>
  <sheetData>
    <row r="1" spans="1:12" ht="75" customHeight="1">
      <c r="B1" s="448" t="s">
        <v>196</v>
      </c>
      <c r="C1" s="448"/>
      <c r="D1" s="448"/>
      <c r="E1" s="448"/>
    </row>
    <row r="3" spans="1:12" ht="15.75" customHeight="1">
      <c r="A3" s="555" t="s">
        <v>197</v>
      </c>
      <c r="B3" s="555"/>
      <c r="C3" s="555"/>
      <c r="D3" s="555"/>
      <c r="E3" s="555"/>
    </row>
    <row r="4" spans="1:12" ht="165" customHeight="1">
      <c r="A4" s="556" t="s">
        <v>198</v>
      </c>
      <c r="B4" s="557"/>
      <c r="C4" s="557"/>
      <c r="D4" s="557"/>
      <c r="E4" s="557"/>
    </row>
    <row r="5" spans="1:12" ht="15.95" thickBot="1">
      <c r="A5" s="441"/>
      <c r="B5" s="441"/>
      <c r="C5" s="441"/>
      <c r="D5" s="441"/>
      <c r="E5" s="441"/>
    </row>
    <row r="6" spans="1:12" ht="15.6">
      <c r="A6" s="175" t="s">
        <v>199</v>
      </c>
      <c r="B6" s="174" t="s">
        <v>200</v>
      </c>
    </row>
    <row r="7" spans="1:12" ht="15.95" thickBot="1">
      <c r="A7" s="176" t="s">
        <v>201</v>
      </c>
      <c r="B7" s="238"/>
    </row>
    <row r="8" spans="1:12" ht="15.95" thickBot="1">
      <c r="A8" s="176" t="s">
        <v>202</v>
      </c>
      <c r="B8" s="284" t="str">
        <f>_xlfn.XLOOKUP(B7,Lists!$D$5:$D$104,Lists!$F$5:$F$104,"Select site",0)</f>
        <v>Select site</v>
      </c>
    </row>
    <row r="9" spans="1:12" ht="30.95">
      <c r="A9" s="176" t="s">
        <v>203</v>
      </c>
      <c r="B9" s="237"/>
      <c r="L9" s="208"/>
    </row>
    <row r="10" spans="1:12" ht="30.95">
      <c r="A10" s="176" t="s">
        <v>204</v>
      </c>
      <c r="B10" s="237">
        <v>0</v>
      </c>
      <c r="L10" s="209"/>
    </row>
    <row r="11" spans="1:12" ht="15.95" thickBot="1">
      <c r="A11" s="176" t="s">
        <v>205</v>
      </c>
      <c r="B11" s="238"/>
      <c r="L11" s="209"/>
    </row>
    <row r="12" spans="1:12" ht="30.95">
      <c r="A12" s="176" t="s">
        <v>206</v>
      </c>
      <c r="B12" s="238"/>
    </row>
    <row r="13" spans="1:12" ht="15.95" thickBot="1">
      <c r="A13" s="176" t="s">
        <v>207</v>
      </c>
      <c r="B13" s="238"/>
    </row>
    <row r="14" spans="1:12" ht="15" thickBot="1"/>
    <row r="15" spans="1:12" ht="15.6">
      <c r="A15" s="175" t="s">
        <v>208</v>
      </c>
      <c r="B15" s="175" t="s">
        <v>209</v>
      </c>
      <c r="C15" s="7"/>
      <c r="D15" s="7"/>
      <c r="E15" s="7"/>
    </row>
    <row r="16" spans="1:12" ht="15.95" thickBot="1">
      <c r="A16" s="176" t="s">
        <v>210</v>
      </c>
      <c r="B16" s="196">
        <f>IF(OR(B8="Very Remote",B8="Remote"),5000,0)</f>
        <v>0</v>
      </c>
      <c r="C16" s="33"/>
      <c r="D16" s="33"/>
      <c r="E16" s="33"/>
    </row>
    <row r="17" spans="1:2" ht="15.95" thickBot="1">
      <c r="A17" s="176" t="s">
        <v>211</v>
      </c>
      <c r="B17" s="196">
        <f>B9*2500</f>
        <v>0</v>
      </c>
    </row>
    <row r="18" spans="1:2" ht="15.95" thickBot="1">
      <c r="A18" s="176" t="s">
        <v>212</v>
      </c>
      <c r="B18" s="196">
        <f>(B10)*2500</f>
        <v>0</v>
      </c>
    </row>
    <row r="19" spans="1:2" ht="15.95" thickBot="1">
      <c r="A19" s="176" t="s">
        <v>213</v>
      </c>
      <c r="B19" s="196">
        <f>IF(B11="Yes",25000,0)</f>
        <v>0</v>
      </c>
    </row>
    <row r="20" spans="1:2" ht="15.95" thickBot="1">
      <c r="A20" s="176" t="s">
        <v>207</v>
      </c>
      <c r="B20" s="196">
        <f>B13</f>
        <v>0</v>
      </c>
    </row>
    <row r="21" spans="1:2" ht="15.6">
      <c r="A21" s="162" t="s">
        <v>214</v>
      </c>
      <c r="B21" s="195">
        <f>SUM(B16:B20)</f>
        <v>0</v>
      </c>
    </row>
    <row r="30" spans="1:2">
      <c r="A30" s="35" t="s">
        <v>62</v>
      </c>
    </row>
  </sheetData>
  <sheetProtection algorithmName="SHA-512" hashValue="RrJQ5GaSS65gL5X7TnBTvin3PqaliIkoURd8snCkzQQ5q3HrPgAHRMhgFC0Gh+UXX65mGE21vDqIiVnepawi1Q==" saltValue="oC+lqcOKTX4QveDT/6AISg==" spinCount="100000" sheet="1" objects="1" scenarios="1"/>
  <mergeCells count="3">
    <mergeCell ref="A3:E3"/>
    <mergeCell ref="A4:E4"/>
    <mergeCell ref="B1:E1"/>
  </mergeCells>
  <dataValidations count="1">
    <dataValidation type="list" allowBlank="1" showInputMessage="1" showErrorMessage="1" sqref="B11:B12" xr:uid="{E3A8C64F-E631-436D-AD1C-B22ED68700CF}">
      <formula1>"Yes, No"</formula1>
    </dataValidation>
  </dataValidations>
  <printOptions horizontalCentered="1" verticalCentered="1"/>
  <pageMargins left="0.23622047244094491" right="0.23622047244094491" top="0.74803149606299213" bottom="0.74803149606299213" header="0.31496062992125984" footer="0.31496062992125984"/>
  <pageSetup paperSize="9" scale="68" orientation="portrait" r:id="rId1"/>
  <headerFooter>
    <oddHeader>&amp;L&amp;"Calibri"&amp;12&amp;K000000 OFFICIAL&amp;1#_x000D_</oddHeader>
  </headerFooter>
  <ignoredErrors>
    <ignoredError sqref="B8"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DD29858-3892-4C79-BF4F-121DB34CE7F9}">
          <x14:formula1>
            <xm:f>Lists!$D$5:$D$104</xm:f>
          </x14:formula1>
          <xm:sqref>B7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DE240-83DC-4344-8DD0-C4CCAB3AC480}">
  <sheetPr codeName="Sheet11"/>
  <dimension ref="A2:M104"/>
  <sheetViews>
    <sheetView workbookViewId="0">
      <selection activeCell="K25" sqref="K25"/>
    </sheetView>
  </sheetViews>
  <sheetFormatPr defaultRowHeight="14.45"/>
  <cols>
    <col min="1" max="1" width="64" bestFit="1" customWidth="1"/>
    <col min="4" max="4" width="22.7109375" bestFit="1" customWidth="1"/>
    <col min="6" max="6" width="14.42578125" bestFit="1" customWidth="1"/>
    <col min="7" max="8" width="14.42578125" customWidth="1"/>
    <col min="9" max="9" width="18.42578125" bestFit="1" customWidth="1"/>
    <col min="10" max="10" width="14.42578125" bestFit="1" customWidth="1"/>
  </cols>
  <sheetData>
    <row r="2" spans="1:12">
      <c r="A2" t="s">
        <v>215</v>
      </c>
    </row>
    <row r="3" spans="1:12">
      <c r="A3" t="s">
        <v>216</v>
      </c>
    </row>
    <row r="4" spans="1:12">
      <c r="I4" t="s">
        <v>217</v>
      </c>
    </row>
    <row r="5" spans="1:12">
      <c r="A5" t="s">
        <v>218</v>
      </c>
      <c r="D5" t="s">
        <v>219</v>
      </c>
      <c r="E5" t="s">
        <v>220</v>
      </c>
      <c r="F5" t="s">
        <v>221</v>
      </c>
      <c r="I5" s="119" t="s">
        <v>222</v>
      </c>
    </row>
    <row r="6" spans="1:12">
      <c r="A6" t="s">
        <v>223</v>
      </c>
      <c r="D6" t="s">
        <v>224</v>
      </c>
      <c r="E6" t="s">
        <v>225</v>
      </c>
      <c r="F6" t="s">
        <v>226</v>
      </c>
      <c r="I6" t="s">
        <v>227</v>
      </c>
      <c r="J6" s="178">
        <v>45292</v>
      </c>
      <c r="K6">
        <v>155000</v>
      </c>
    </row>
    <row r="7" spans="1:12">
      <c r="A7" t="s">
        <v>228</v>
      </c>
      <c r="D7" t="s">
        <v>229</v>
      </c>
      <c r="E7" t="s">
        <v>220</v>
      </c>
      <c r="F7" t="s">
        <v>230</v>
      </c>
      <c r="I7" t="s">
        <v>231</v>
      </c>
      <c r="J7" s="178">
        <v>45474</v>
      </c>
      <c r="K7">
        <v>2500</v>
      </c>
      <c r="L7" t="s">
        <v>232</v>
      </c>
    </row>
    <row r="8" spans="1:12">
      <c r="A8" t="s">
        <v>233</v>
      </c>
      <c r="D8" t="s">
        <v>234</v>
      </c>
      <c r="E8" t="s">
        <v>220</v>
      </c>
      <c r="F8" t="s">
        <v>221</v>
      </c>
      <c r="I8" t="s">
        <v>235</v>
      </c>
      <c r="J8" s="178">
        <v>45474</v>
      </c>
      <c r="K8">
        <v>5000</v>
      </c>
      <c r="L8" t="s">
        <v>236</v>
      </c>
    </row>
    <row r="9" spans="1:12">
      <c r="A9" t="s">
        <v>237</v>
      </c>
      <c r="D9" t="s">
        <v>238</v>
      </c>
      <c r="E9" t="s">
        <v>225</v>
      </c>
      <c r="F9" t="s">
        <v>221</v>
      </c>
      <c r="I9" t="s">
        <v>239</v>
      </c>
      <c r="J9" s="178">
        <v>45474</v>
      </c>
      <c r="K9">
        <v>25000</v>
      </c>
    </row>
    <row r="10" spans="1:12">
      <c r="A10" t="s">
        <v>240</v>
      </c>
      <c r="D10" t="s">
        <v>241</v>
      </c>
      <c r="E10" t="s">
        <v>225</v>
      </c>
      <c r="F10" t="s">
        <v>230</v>
      </c>
      <c r="I10" t="s">
        <v>242</v>
      </c>
      <c r="J10" s="178">
        <v>45474</v>
      </c>
      <c r="K10">
        <v>10000</v>
      </c>
      <c r="L10" t="s">
        <v>243</v>
      </c>
    </row>
    <row r="11" spans="1:12">
      <c r="A11" t="s">
        <v>244</v>
      </c>
      <c r="D11" t="s">
        <v>245</v>
      </c>
      <c r="E11" t="s">
        <v>225</v>
      </c>
      <c r="F11" t="s">
        <v>221</v>
      </c>
    </row>
    <row r="12" spans="1:12">
      <c r="A12" t="s">
        <v>246</v>
      </c>
      <c r="D12" t="s">
        <v>247</v>
      </c>
      <c r="E12" t="s">
        <v>225</v>
      </c>
      <c r="F12" t="s">
        <v>230</v>
      </c>
    </row>
    <row r="13" spans="1:12">
      <c r="A13" t="s">
        <v>248</v>
      </c>
      <c r="D13" t="s">
        <v>249</v>
      </c>
      <c r="E13" t="s">
        <v>225</v>
      </c>
      <c r="F13" t="s">
        <v>221</v>
      </c>
      <c r="J13" s="197" t="s">
        <v>250</v>
      </c>
    </row>
    <row r="14" spans="1:12">
      <c r="A14" t="s">
        <v>251</v>
      </c>
      <c r="D14" t="s">
        <v>252</v>
      </c>
      <c r="E14" t="s">
        <v>225</v>
      </c>
      <c r="F14" t="s">
        <v>230</v>
      </c>
      <c r="J14" t="s">
        <v>221</v>
      </c>
      <c r="K14" s="198">
        <v>1.25</v>
      </c>
    </row>
    <row r="15" spans="1:12">
      <c r="A15" t="s">
        <v>253</v>
      </c>
      <c r="D15" t="s">
        <v>254</v>
      </c>
      <c r="E15" t="s">
        <v>220</v>
      </c>
      <c r="F15" t="s">
        <v>221</v>
      </c>
      <c r="J15" t="s">
        <v>230</v>
      </c>
      <c r="K15" s="198">
        <v>1</v>
      </c>
    </row>
    <row r="16" spans="1:12">
      <c r="A16" t="s">
        <v>255</v>
      </c>
      <c r="D16" t="s">
        <v>256</v>
      </c>
      <c r="E16" t="s">
        <v>220</v>
      </c>
      <c r="F16" t="s">
        <v>257</v>
      </c>
      <c r="J16" s="46" t="s">
        <v>258</v>
      </c>
      <c r="K16" s="198">
        <v>1</v>
      </c>
    </row>
    <row r="17" spans="1:13">
      <c r="A17" t="s">
        <v>259</v>
      </c>
      <c r="D17" t="s">
        <v>260</v>
      </c>
      <c r="E17" t="s">
        <v>220</v>
      </c>
      <c r="F17" t="s">
        <v>226</v>
      </c>
      <c r="J17" t="s">
        <v>257</v>
      </c>
      <c r="K17" s="198">
        <v>1.5</v>
      </c>
    </row>
    <row r="18" spans="1:13">
      <c r="A18" t="s">
        <v>261</v>
      </c>
      <c r="D18" t="s">
        <v>262</v>
      </c>
      <c r="E18" t="s">
        <v>220</v>
      </c>
      <c r="F18" t="s">
        <v>221</v>
      </c>
      <c r="J18" t="s">
        <v>226</v>
      </c>
      <c r="K18" s="198">
        <v>2</v>
      </c>
    </row>
    <row r="19" spans="1:13">
      <c r="A19" t="s">
        <v>263</v>
      </c>
      <c r="D19" t="s">
        <v>264</v>
      </c>
      <c r="E19" t="s">
        <v>220</v>
      </c>
      <c r="F19" t="s">
        <v>221</v>
      </c>
      <c r="J19" t="s">
        <v>265</v>
      </c>
      <c r="K19" s="198">
        <v>3</v>
      </c>
    </row>
    <row r="20" spans="1:13">
      <c r="A20" t="s">
        <v>266</v>
      </c>
      <c r="D20" t="s">
        <v>267</v>
      </c>
      <c r="E20" t="s">
        <v>220</v>
      </c>
      <c r="F20" t="s">
        <v>257</v>
      </c>
    </row>
    <row r="21" spans="1:13">
      <c r="A21" t="s">
        <v>268</v>
      </c>
      <c r="D21" t="s">
        <v>269</v>
      </c>
      <c r="E21" t="s">
        <v>225</v>
      </c>
      <c r="F21" t="s">
        <v>257</v>
      </c>
    </row>
    <row r="22" spans="1:13">
      <c r="A22" t="s">
        <v>270</v>
      </c>
      <c r="D22" t="s">
        <v>271</v>
      </c>
      <c r="E22" t="s">
        <v>225</v>
      </c>
      <c r="F22" t="s">
        <v>230</v>
      </c>
    </row>
    <row r="23" spans="1:13">
      <c r="A23" t="s">
        <v>272</v>
      </c>
      <c r="D23" t="s">
        <v>273</v>
      </c>
      <c r="E23" t="s">
        <v>225</v>
      </c>
      <c r="F23" t="s">
        <v>230</v>
      </c>
    </row>
    <row r="24" spans="1:13">
      <c r="A24" t="s">
        <v>274</v>
      </c>
      <c r="D24" t="s">
        <v>275</v>
      </c>
      <c r="E24" t="s">
        <v>220</v>
      </c>
      <c r="F24" t="s">
        <v>257</v>
      </c>
      <c r="I24" t="s">
        <v>276</v>
      </c>
      <c r="J24" t="s">
        <v>277</v>
      </c>
      <c r="K24" t="s">
        <v>278</v>
      </c>
      <c r="L24" t="s">
        <v>279</v>
      </c>
      <c r="M24" t="s">
        <v>280</v>
      </c>
    </row>
    <row r="25" spans="1:13">
      <c r="A25" t="s">
        <v>281</v>
      </c>
      <c r="D25" t="s">
        <v>282</v>
      </c>
      <c r="E25" t="s">
        <v>220</v>
      </c>
      <c r="F25" t="s">
        <v>257</v>
      </c>
      <c r="I25" t="s">
        <v>283</v>
      </c>
      <c r="J25" t="s">
        <v>284</v>
      </c>
      <c r="K25">
        <v>2024</v>
      </c>
      <c r="L25">
        <v>2025</v>
      </c>
      <c r="M25" t="s">
        <v>285</v>
      </c>
    </row>
    <row r="26" spans="1:13">
      <c r="A26" t="s">
        <v>286</v>
      </c>
      <c r="D26" t="s">
        <v>287</v>
      </c>
      <c r="E26" t="s">
        <v>225</v>
      </c>
      <c r="F26" t="s">
        <v>230</v>
      </c>
    </row>
    <row r="27" spans="1:13">
      <c r="A27" t="s">
        <v>288</v>
      </c>
      <c r="D27" t="s">
        <v>289</v>
      </c>
      <c r="E27" t="s">
        <v>220</v>
      </c>
      <c r="F27" t="s">
        <v>221</v>
      </c>
      <c r="I27" t="s">
        <v>290</v>
      </c>
    </row>
    <row r="28" spans="1:13">
      <c r="A28" t="s">
        <v>291</v>
      </c>
      <c r="D28" t="s">
        <v>292</v>
      </c>
      <c r="E28" t="s">
        <v>225</v>
      </c>
      <c r="F28" t="s">
        <v>221</v>
      </c>
      <c r="I28" t="s">
        <v>293</v>
      </c>
    </row>
    <row r="29" spans="1:13">
      <c r="A29" t="s">
        <v>294</v>
      </c>
      <c r="D29" t="s">
        <v>295</v>
      </c>
      <c r="E29" t="s">
        <v>225</v>
      </c>
      <c r="F29" t="s">
        <v>221</v>
      </c>
    </row>
    <row r="30" spans="1:13">
      <c r="A30" t="s">
        <v>296</v>
      </c>
      <c r="D30" t="s">
        <v>297</v>
      </c>
      <c r="E30" t="s">
        <v>220</v>
      </c>
      <c r="F30" t="s">
        <v>226</v>
      </c>
    </row>
    <row r="31" spans="1:13">
      <c r="A31" t="s">
        <v>298</v>
      </c>
      <c r="D31" t="s">
        <v>299</v>
      </c>
      <c r="E31" t="s">
        <v>225</v>
      </c>
      <c r="F31" t="s">
        <v>230</v>
      </c>
    </row>
    <row r="32" spans="1:13">
      <c r="A32" t="s">
        <v>300</v>
      </c>
      <c r="D32" t="s">
        <v>301</v>
      </c>
      <c r="E32" t="s">
        <v>225</v>
      </c>
      <c r="F32" t="s">
        <v>230</v>
      </c>
    </row>
    <row r="33" spans="1:6">
      <c r="A33" t="s">
        <v>302</v>
      </c>
      <c r="D33" t="s">
        <v>303</v>
      </c>
      <c r="E33" t="s">
        <v>220</v>
      </c>
      <c r="F33" t="s">
        <v>257</v>
      </c>
    </row>
    <row r="34" spans="1:6">
      <c r="A34" t="s">
        <v>304</v>
      </c>
      <c r="D34" t="s">
        <v>305</v>
      </c>
      <c r="E34" t="s">
        <v>225</v>
      </c>
      <c r="F34" t="s">
        <v>230</v>
      </c>
    </row>
    <row r="35" spans="1:6">
      <c r="A35" t="s">
        <v>306</v>
      </c>
      <c r="D35" t="s">
        <v>307</v>
      </c>
      <c r="E35" t="s">
        <v>220</v>
      </c>
      <c r="F35" t="s">
        <v>230</v>
      </c>
    </row>
    <row r="36" spans="1:6">
      <c r="A36" t="s">
        <v>308</v>
      </c>
      <c r="D36" t="s">
        <v>309</v>
      </c>
      <c r="E36" t="s">
        <v>220</v>
      </c>
      <c r="F36" t="s">
        <v>265</v>
      </c>
    </row>
    <row r="37" spans="1:6">
      <c r="A37" t="s">
        <v>310</v>
      </c>
      <c r="D37" t="s">
        <v>311</v>
      </c>
      <c r="E37" t="s">
        <v>225</v>
      </c>
      <c r="F37" t="s">
        <v>221</v>
      </c>
    </row>
    <row r="38" spans="1:6">
      <c r="A38" t="s">
        <v>312</v>
      </c>
      <c r="D38" t="s">
        <v>313</v>
      </c>
      <c r="E38" t="s">
        <v>220</v>
      </c>
      <c r="F38" t="s">
        <v>257</v>
      </c>
    </row>
    <row r="39" spans="1:6">
      <c r="A39" t="s">
        <v>314</v>
      </c>
      <c r="D39" t="s">
        <v>315</v>
      </c>
      <c r="E39" t="s">
        <v>220</v>
      </c>
      <c r="F39" t="s">
        <v>265</v>
      </c>
    </row>
    <row r="40" spans="1:6">
      <c r="A40" t="s">
        <v>316</v>
      </c>
      <c r="D40" t="s">
        <v>317</v>
      </c>
      <c r="E40" t="s">
        <v>225</v>
      </c>
      <c r="F40" t="s">
        <v>230</v>
      </c>
    </row>
    <row r="41" spans="1:6">
      <c r="A41" t="s">
        <v>318</v>
      </c>
      <c r="D41" t="s">
        <v>319</v>
      </c>
      <c r="E41" t="s">
        <v>225</v>
      </c>
      <c r="F41" t="s">
        <v>230</v>
      </c>
    </row>
    <row r="42" spans="1:6">
      <c r="A42" t="s">
        <v>320</v>
      </c>
      <c r="D42" t="s">
        <v>321</v>
      </c>
      <c r="E42" t="s">
        <v>220</v>
      </c>
      <c r="F42" t="s">
        <v>230</v>
      </c>
    </row>
    <row r="43" spans="1:6">
      <c r="A43" t="s">
        <v>322</v>
      </c>
      <c r="D43" t="s">
        <v>323</v>
      </c>
      <c r="E43" t="s">
        <v>225</v>
      </c>
      <c r="F43" t="s">
        <v>230</v>
      </c>
    </row>
    <row r="44" spans="1:6">
      <c r="A44" t="s">
        <v>324</v>
      </c>
      <c r="D44" t="s">
        <v>325</v>
      </c>
      <c r="E44" t="s">
        <v>225</v>
      </c>
      <c r="F44" t="s">
        <v>230</v>
      </c>
    </row>
    <row r="45" spans="1:6">
      <c r="A45" t="s">
        <v>326</v>
      </c>
      <c r="D45" t="s">
        <v>327</v>
      </c>
      <c r="E45" t="s">
        <v>225</v>
      </c>
      <c r="F45" t="s">
        <v>230</v>
      </c>
    </row>
    <row r="46" spans="1:6">
      <c r="A46" t="s">
        <v>328</v>
      </c>
      <c r="D46" t="s">
        <v>329</v>
      </c>
      <c r="E46" t="s">
        <v>220</v>
      </c>
      <c r="F46" t="s">
        <v>221</v>
      </c>
    </row>
    <row r="47" spans="1:6">
      <c r="A47" t="s">
        <v>330</v>
      </c>
      <c r="D47" t="s">
        <v>331</v>
      </c>
      <c r="E47" t="s">
        <v>225</v>
      </c>
      <c r="F47" t="s">
        <v>230</v>
      </c>
    </row>
    <row r="48" spans="1:6">
      <c r="A48" t="s">
        <v>332</v>
      </c>
      <c r="D48" t="s">
        <v>333</v>
      </c>
      <c r="E48" t="s">
        <v>225</v>
      </c>
      <c r="F48" t="s">
        <v>257</v>
      </c>
    </row>
    <row r="49" spans="1:6">
      <c r="A49" t="s">
        <v>334</v>
      </c>
      <c r="D49" t="s">
        <v>335</v>
      </c>
      <c r="E49" t="s">
        <v>225</v>
      </c>
      <c r="F49" t="s">
        <v>230</v>
      </c>
    </row>
    <row r="50" spans="1:6">
      <c r="A50" t="s">
        <v>336</v>
      </c>
      <c r="D50" t="s">
        <v>337</v>
      </c>
      <c r="E50" t="s">
        <v>225</v>
      </c>
      <c r="F50" t="s">
        <v>230</v>
      </c>
    </row>
    <row r="51" spans="1:6">
      <c r="A51" t="s">
        <v>338</v>
      </c>
      <c r="D51" t="s">
        <v>339</v>
      </c>
      <c r="E51" t="s">
        <v>220</v>
      </c>
      <c r="F51" t="s">
        <v>221</v>
      </c>
    </row>
    <row r="52" spans="1:6">
      <c r="A52" t="s">
        <v>340</v>
      </c>
      <c r="D52" t="s">
        <v>341</v>
      </c>
      <c r="E52" t="s">
        <v>220</v>
      </c>
      <c r="F52" t="s">
        <v>230</v>
      </c>
    </row>
    <row r="53" spans="1:6">
      <c r="A53" t="s">
        <v>342</v>
      </c>
      <c r="D53" t="s">
        <v>343</v>
      </c>
      <c r="E53" t="s">
        <v>220</v>
      </c>
      <c r="F53" t="s">
        <v>226</v>
      </c>
    </row>
    <row r="54" spans="1:6">
      <c r="A54" t="s">
        <v>344</v>
      </c>
      <c r="D54" t="s">
        <v>345</v>
      </c>
      <c r="E54" t="s">
        <v>225</v>
      </c>
      <c r="F54" t="s">
        <v>230</v>
      </c>
    </row>
    <row r="55" spans="1:6">
      <c r="A55" t="s">
        <v>346</v>
      </c>
      <c r="D55" t="s">
        <v>347</v>
      </c>
      <c r="E55" t="s">
        <v>220</v>
      </c>
      <c r="F55" t="s">
        <v>257</v>
      </c>
    </row>
    <row r="56" spans="1:6">
      <c r="A56" t="s">
        <v>348</v>
      </c>
      <c r="D56" t="s">
        <v>349</v>
      </c>
      <c r="E56" t="s">
        <v>225</v>
      </c>
      <c r="F56" t="s">
        <v>226</v>
      </c>
    </row>
    <row r="57" spans="1:6">
      <c r="A57" t="s">
        <v>350</v>
      </c>
      <c r="D57" t="s">
        <v>351</v>
      </c>
      <c r="E57" t="s">
        <v>220</v>
      </c>
      <c r="F57" t="s">
        <v>221</v>
      </c>
    </row>
    <row r="58" spans="1:6">
      <c r="A58" t="s">
        <v>352</v>
      </c>
      <c r="D58" t="s">
        <v>353</v>
      </c>
      <c r="E58" t="s">
        <v>225</v>
      </c>
      <c r="F58" t="s">
        <v>257</v>
      </c>
    </row>
    <row r="59" spans="1:6">
      <c r="A59" t="s">
        <v>354</v>
      </c>
      <c r="D59" t="s">
        <v>355</v>
      </c>
      <c r="E59" t="s">
        <v>220</v>
      </c>
      <c r="F59" t="s">
        <v>221</v>
      </c>
    </row>
    <row r="60" spans="1:6">
      <c r="A60" t="s">
        <v>356</v>
      </c>
      <c r="D60" t="s">
        <v>357</v>
      </c>
      <c r="E60" t="s">
        <v>225</v>
      </c>
      <c r="F60" t="s">
        <v>221</v>
      </c>
    </row>
    <row r="61" spans="1:6">
      <c r="A61" t="s">
        <v>358</v>
      </c>
      <c r="D61" t="s">
        <v>359</v>
      </c>
      <c r="E61" t="s">
        <v>225</v>
      </c>
      <c r="F61" t="s">
        <v>221</v>
      </c>
    </row>
    <row r="62" spans="1:6">
      <c r="A62" t="s">
        <v>360</v>
      </c>
      <c r="D62" t="s">
        <v>361</v>
      </c>
      <c r="E62" t="s">
        <v>225</v>
      </c>
      <c r="F62" t="s">
        <v>230</v>
      </c>
    </row>
    <row r="63" spans="1:6">
      <c r="A63" t="s">
        <v>362</v>
      </c>
      <c r="D63" t="s">
        <v>363</v>
      </c>
      <c r="E63" t="s">
        <v>225</v>
      </c>
      <c r="F63" t="s">
        <v>230</v>
      </c>
    </row>
    <row r="64" spans="1:6">
      <c r="A64" t="s">
        <v>364</v>
      </c>
      <c r="D64" t="s">
        <v>365</v>
      </c>
      <c r="E64" t="s">
        <v>220</v>
      </c>
      <c r="F64" t="s">
        <v>230</v>
      </c>
    </row>
    <row r="65" spans="1:6">
      <c r="A65" t="s">
        <v>366</v>
      </c>
      <c r="D65" t="s">
        <v>367</v>
      </c>
      <c r="E65" t="s">
        <v>220</v>
      </c>
      <c r="F65" t="s">
        <v>257</v>
      </c>
    </row>
    <row r="66" spans="1:6">
      <c r="A66" t="s">
        <v>368</v>
      </c>
      <c r="D66" t="s">
        <v>369</v>
      </c>
      <c r="E66" t="s">
        <v>220</v>
      </c>
      <c r="F66" t="s">
        <v>221</v>
      </c>
    </row>
    <row r="67" spans="1:6">
      <c r="A67" t="s">
        <v>370</v>
      </c>
      <c r="D67" t="s">
        <v>371</v>
      </c>
      <c r="E67" t="s">
        <v>220</v>
      </c>
      <c r="F67" t="s">
        <v>257</v>
      </c>
    </row>
    <row r="68" spans="1:6">
      <c r="A68" t="s">
        <v>372</v>
      </c>
      <c r="D68" t="s">
        <v>373</v>
      </c>
      <c r="E68" t="s">
        <v>225</v>
      </c>
      <c r="F68" t="s">
        <v>226</v>
      </c>
    </row>
    <row r="69" spans="1:6">
      <c r="A69" t="s">
        <v>374</v>
      </c>
      <c r="D69" t="s">
        <v>375</v>
      </c>
      <c r="E69" t="s">
        <v>225</v>
      </c>
      <c r="F69" t="s">
        <v>221</v>
      </c>
    </row>
    <row r="70" spans="1:6">
      <c r="A70" t="s">
        <v>376</v>
      </c>
      <c r="D70" t="s">
        <v>377</v>
      </c>
      <c r="E70" t="s">
        <v>220</v>
      </c>
      <c r="F70" t="s">
        <v>265</v>
      </c>
    </row>
    <row r="71" spans="1:6">
      <c r="A71" t="s">
        <v>378</v>
      </c>
      <c r="D71" t="s">
        <v>379</v>
      </c>
      <c r="E71" t="s">
        <v>220</v>
      </c>
      <c r="F71" t="s">
        <v>221</v>
      </c>
    </row>
    <row r="72" spans="1:6">
      <c r="D72" t="s">
        <v>380</v>
      </c>
      <c r="E72" t="s">
        <v>220</v>
      </c>
      <c r="F72" t="s">
        <v>257</v>
      </c>
    </row>
    <row r="73" spans="1:6">
      <c r="D73" t="s">
        <v>381</v>
      </c>
      <c r="E73" t="s">
        <v>225</v>
      </c>
      <c r="F73" t="s">
        <v>230</v>
      </c>
    </row>
    <row r="74" spans="1:6">
      <c r="D74" t="s">
        <v>382</v>
      </c>
      <c r="E74" t="s">
        <v>225</v>
      </c>
      <c r="F74" t="s">
        <v>221</v>
      </c>
    </row>
    <row r="75" spans="1:6">
      <c r="D75" t="s">
        <v>383</v>
      </c>
      <c r="E75" t="s">
        <v>220</v>
      </c>
      <c r="F75" t="s">
        <v>265</v>
      </c>
    </row>
    <row r="76" spans="1:6">
      <c r="D76" t="s">
        <v>384</v>
      </c>
      <c r="E76" t="s">
        <v>220</v>
      </c>
      <c r="F76" t="s">
        <v>230</v>
      </c>
    </row>
    <row r="77" spans="1:6">
      <c r="D77" t="s">
        <v>385</v>
      </c>
      <c r="E77" t="s">
        <v>220</v>
      </c>
      <c r="F77" t="s">
        <v>221</v>
      </c>
    </row>
    <row r="78" spans="1:6">
      <c r="D78" t="s">
        <v>386</v>
      </c>
      <c r="E78" t="s">
        <v>220</v>
      </c>
      <c r="F78" t="s">
        <v>226</v>
      </c>
    </row>
    <row r="79" spans="1:6">
      <c r="D79" t="s">
        <v>387</v>
      </c>
      <c r="E79" t="s">
        <v>220</v>
      </c>
      <c r="F79" t="s">
        <v>257</v>
      </c>
    </row>
    <row r="80" spans="1:6">
      <c r="D80" t="s">
        <v>388</v>
      </c>
      <c r="E80" t="s">
        <v>220</v>
      </c>
      <c r="F80" t="s">
        <v>257</v>
      </c>
    </row>
    <row r="81" spans="4:6">
      <c r="D81" t="s">
        <v>389</v>
      </c>
      <c r="E81" t="s">
        <v>220</v>
      </c>
      <c r="F81" t="s">
        <v>221</v>
      </c>
    </row>
    <row r="82" spans="4:6">
      <c r="D82" t="s">
        <v>390</v>
      </c>
      <c r="E82" t="s">
        <v>220</v>
      </c>
      <c r="F82" t="s">
        <v>257</v>
      </c>
    </row>
    <row r="83" spans="4:6">
      <c r="D83" t="s">
        <v>391</v>
      </c>
      <c r="E83" t="s">
        <v>225</v>
      </c>
      <c r="F83" t="s">
        <v>230</v>
      </c>
    </row>
    <row r="84" spans="4:6">
      <c r="D84" t="s">
        <v>392</v>
      </c>
      <c r="E84" t="s">
        <v>225</v>
      </c>
      <c r="F84" t="s">
        <v>257</v>
      </c>
    </row>
    <row r="85" spans="4:6">
      <c r="D85" t="s">
        <v>393</v>
      </c>
      <c r="E85" t="s">
        <v>225</v>
      </c>
      <c r="F85" t="s">
        <v>221</v>
      </c>
    </row>
    <row r="86" spans="4:6">
      <c r="D86" t="s">
        <v>394</v>
      </c>
      <c r="E86" t="s">
        <v>225</v>
      </c>
      <c r="F86" t="s">
        <v>230</v>
      </c>
    </row>
    <row r="87" spans="4:6">
      <c r="D87" t="s">
        <v>395</v>
      </c>
      <c r="E87" t="s">
        <v>225</v>
      </c>
      <c r="F87" t="s">
        <v>230</v>
      </c>
    </row>
    <row r="88" spans="4:6">
      <c r="D88" t="s">
        <v>396</v>
      </c>
      <c r="E88" t="s">
        <v>225</v>
      </c>
      <c r="F88" t="s">
        <v>257</v>
      </c>
    </row>
    <row r="89" spans="4:6">
      <c r="D89" t="s">
        <v>397</v>
      </c>
      <c r="E89" t="s">
        <v>225</v>
      </c>
      <c r="F89" t="s">
        <v>221</v>
      </c>
    </row>
    <row r="90" spans="4:6">
      <c r="D90" t="s">
        <v>398</v>
      </c>
      <c r="E90" t="s">
        <v>225</v>
      </c>
      <c r="F90" t="s">
        <v>221</v>
      </c>
    </row>
    <row r="91" spans="4:6">
      <c r="D91" t="s">
        <v>399</v>
      </c>
      <c r="E91" t="s">
        <v>220</v>
      </c>
      <c r="F91" t="s">
        <v>221</v>
      </c>
    </row>
    <row r="92" spans="4:6">
      <c r="D92" t="s">
        <v>400</v>
      </c>
      <c r="E92" t="s">
        <v>220</v>
      </c>
      <c r="F92" t="s">
        <v>265</v>
      </c>
    </row>
    <row r="93" spans="4:6">
      <c r="D93" t="s">
        <v>401</v>
      </c>
      <c r="E93" t="s">
        <v>225</v>
      </c>
      <c r="F93" t="s">
        <v>230</v>
      </c>
    </row>
    <row r="94" spans="4:6">
      <c r="D94" t="s">
        <v>402</v>
      </c>
      <c r="E94" t="s">
        <v>220</v>
      </c>
      <c r="F94" t="s">
        <v>221</v>
      </c>
    </row>
    <row r="95" spans="4:6">
      <c r="D95" t="s">
        <v>403</v>
      </c>
      <c r="E95" t="s">
        <v>220</v>
      </c>
      <c r="F95" t="s">
        <v>257</v>
      </c>
    </row>
    <row r="96" spans="4:6">
      <c r="D96" t="s">
        <v>404</v>
      </c>
      <c r="E96" t="s">
        <v>225</v>
      </c>
      <c r="F96" t="s">
        <v>230</v>
      </c>
    </row>
    <row r="97" spans="4:6">
      <c r="D97" t="s">
        <v>405</v>
      </c>
      <c r="E97" t="s">
        <v>220</v>
      </c>
      <c r="F97" t="s">
        <v>221</v>
      </c>
    </row>
    <row r="98" spans="4:6">
      <c r="D98" t="s">
        <v>406</v>
      </c>
      <c r="E98" t="s">
        <v>220</v>
      </c>
      <c r="F98" t="s">
        <v>257</v>
      </c>
    </row>
    <row r="99" spans="4:6">
      <c r="D99" t="s">
        <v>407</v>
      </c>
      <c r="E99" t="s">
        <v>225</v>
      </c>
      <c r="F99" t="s">
        <v>257</v>
      </c>
    </row>
    <row r="100" spans="4:6">
      <c r="D100" t="s">
        <v>408</v>
      </c>
      <c r="E100" t="s">
        <v>225</v>
      </c>
      <c r="F100" t="s">
        <v>230</v>
      </c>
    </row>
    <row r="101" spans="4:6">
      <c r="D101" t="s">
        <v>409</v>
      </c>
      <c r="E101" t="s">
        <v>220</v>
      </c>
      <c r="F101" t="s">
        <v>221</v>
      </c>
    </row>
    <row r="102" spans="4:6">
      <c r="D102" t="s">
        <v>410</v>
      </c>
      <c r="E102" t="s">
        <v>225</v>
      </c>
      <c r="F102" t="s">
        <v>257</v>
      </c>
    </row>
    <row r="103" spans="4:6">
      <c r="D103" t="s">
        <v>411</v>
      </c>
      <c r="E103" t="s">
        <v>220</v>
      </c>
      <c r="F103" t="s">
        <v>230</v>
      </c>
    </row>
    <row r="104" spans="4:6">
      <c r="D104" t="s">
        <v>412</v>
      </c>
      <c r="E104" t="s">
        <v>220</v>
      </c>
      <c r="F104" t="s">
        <v>265</v>
      </c>
    </row>
  </sheetData>
  <sortState xmlns:xlrd2="http://schemas.microsoft.com/office/spreadsheetml/2017/richdata2" ref="D5:F104">
    <sortCondition ref="D5:D104"/>
  </sortState>
  <pageMargins left="0.7" right="0.7" top="0.75" bottom="0.75" header="0.3" footer="0.3"/>
  <pageSetup paperSize="9" orientation="portrait" r:id="rId1"/>
  <headerFooter>
    <oddHeader>&amp;L&amp;"Calibri"&amp;12&amp;K000000 OFFICIAL&amp;1#_x000D_</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EDFBF-CC90-413C-A55C-8A2C463C85AB}">
  <sheetPr codeName="Sheet9"/>
  <dimension ref="A3:L94"/>
  <sheetViews>
    <sheetView topLeftCell="A55" workbookViewId="0">
      <selection activeCell="A67" sqref="A67:I94"/>
    </sheetView>
  </sheetViews>
  <sheetFormatPr defaultRowHeight="14.45"/>
  <cols>
    <col min="1" max="1" width="31" customWidth="1"/>
    <col min="2" max="2" width="24.85546875" customWidth="1"/>
    <col min="3" max="8" width="15.5703125" customWidth="1"/>
    <col min="11" max="12" width="11.140625" bestFit="1" customWidth="1"/>
  </cols>
  <sheetData>
    <row r="3" spans="1:12">
      <c r="A3" s="395" t="s">
        <v>413</v>
      </c>
      <c r="B3" s="70" t="s">
        <v>414</v>
      </c>
    </row>
    <row r="4" spans="1:12" ht="15" thickBot="1"/>
    <row r="5" spans="1:12" ht="15" thickBot="1">
      <c r="A5" s="64" t="s">
        <v>415</v>
      </c>
      <c r="B5" s="64" t="s">
        <v>416</v>
      </c>
      <c r="C5" s="65" t="s">
        <v>417</v>
      </c>
      <c r="D5" s="65" t="s">
        <v>418</v>
      </c>
      <c r="E5" s="65" t="s">
        <v>419</v>
      </c>
      <c r="F5" s="65" t="s">
        <v>420</v>
      </c>
      <c r="G5" s="65" t="s">
        <v>421</v>
      </c>
      <c r="H5" s="65" t="s">
        <v>422</v>
      </c>
    </row>
    <row r="6" spans="1:12" ht="15" thickBot="1">
      <c r="A6" s="62" t="s">
        <v>218</v>
      </c>
      <c r="B6" s="396">
        <v>999.4</v>
      </c>
      <c r="C6" s="63">
        <v>26.3</v>
      </c>
      <c r="D6" s="63">
        <v>39.450000000000003</v>
      </c>
      <c r="E6" s="63">
        <v>52.6</v>
      </c>
      <c r="F6" s="63">
        <v>65.75</v>
      </c>
      <c r="G6" s="63">
        <v>29.59</v>
      </c>
      <c r="H6" s="63">
        <v>30.25</v>
      </c>
      <c r="K6" s="207">
        <f>B6*52</f>
        <v>51968.799999999996</v>
      </c>
      <c r="L6" s="207">
        <f>K6*(1+12%)</f>
        <v>58205.056000000004</v>
      </c>
    </row>
    <row r="7" spans="1:12" ht="15" thickBot="1">
      <c r="A7" s="62" t="s">
        <v>223</v>
      </c>
      <c r="B7" s="396">
        <v>1031.5999999999999</v>
      </c>
      <c r="C7" s="63">
        <v>27.15</v>
      </c>
      <c r="D7" s="63">
        <v>40.729999999999997</v>
      </c>
      <c r="E7" s="63">
        <v>54.3</v>
      </c>
      <c r="F7" s="63">
        <v>67.88</v>
      </c>
      <c r="G7" s="63">
        <v>30.54</v>
      </c>
      <c r="H7" s="63">
        <v>31.22</v>
      </c>
      <c r="K7" s="207">
        <f t="shared" ref="K7:K32" si="0">B7*52</f>
        <v>53643.199999999997</v>
      </c>
      <c r="L7" s="207">
        <f t="shared" ref="L7:L32" si="1">K7*(1+12%)</f>
        <v>60080.384000000005</v>
      </c>
    </row>
    <row r="8" spans="1:12" ht="15" thickBot="1">
      <c r="A8" s="62" t="s">
        <v>228</v>
      </c>
      <c r="B8" s="396">
        <v>1068.4000000000001</v>
      </c>
      <c r="C8" s="63">
        <v>28.12</v>
      </c>
      <c r="D8" s="63">
        <v>42.18</v>
      </c>
      <c r="E8" s="63">
        <v>56.24</v>
      </c>
      <c r="F8" s="63">
        <v>70.3</v>
      </c>
      <c r="G8" s="63">
        <v>31.64</v>
      </c>
      <c r="H8" s="63">
        <v>32.340000000000003</v>
      </c>
      <c r="K8" s="207">
        <f t="shared" si="0"/>
        <v>55556.800000000003</v>
      </c>
      <c r="L8" s="207">
        <f t="shared" si="1"/>
        <v>62223.616000000009</v>
      </c>
    </row>
    <row r="9" spans="1:12" ht="15" thickBot="1">
      <c r="A9" s="62" t="s">
        <v>233</v>
      </c>
      <c r="B9" s="396">
        <v>1314.13</v>
      </c>
      <c r="C9" s="63">
        <v>34.58</v>
      </c>
      <c r="D9" s="63">
        <v>51.87</v>
      </c>
      <c r="E9" s="63">
        <v>69.16</v>
      </c>
      <c r="F9" s="63">
        <v>86.45</v>
      </c>
      <c r="G9" s="63">
        <v>38.9</v>
      </c>
      <c r="H9" s="63">
        <v>39.770000000000003</v>
      </c>
      <c r="K9" s="207">
        <f t="shared" si="0"/>
        <v>68334.760000000009</v>
      </c>
      <c r="L9" s="207">
        <f t="shared" si="1"/>
        <v>76534.931200000021</v>
      </c>
    </row>
    <row r="10" spans="1:12" ht="15" thickBot="1">
      <c r="A10" s="62" t="s">
        <v>237</v>
      </c>
      <c r="B10" s="396">
        <v>1355.46</v>
      </c>
      <c r="C10" s="63">
        <v>35.67</v>
      </c>
      <c r="D10" s="63">
        <v>53.51</v>
      </c>
      <c r="E10" s="63">
        <v>71.34</v>
      </c>
      <c r="F10" s="63">
        <v>89.18</v>
      </c>
      <c r="G10" s="63">
        <v>40.130000000000003</v>
      </c>
      <c r="H10" s="63">
        <v>41.02</v>
      </c>
      <c r="K10" s="207">
        <f t="shared" si="0"/>
        <v>70483.92</v>
      </c>
      <c r="L10" s="207">
        <f t="shared" si="1"/>
        <v>78941.99040000001</v>
      </c>
    </row>
    <row r="11" spans="1:12" ht="15" thickBot="1">
      <c r="A11" s="62" t="s">
        <v>240</v>
      </c>
      <c r="B11" s="396">
        <v>1396.67</v>
      </c>
      <c r="C11" s="63">
        <v>36.75</v>
      </c>
      <c r="D11" s="63">
        <v>55.13</v>
      </c>
      <c r="E11" s="63">
        <v>73.5</v>
      </c>
      <c r="F11" s="63">
        <v>91.88</v>
      </c>
      <c r="G11" s="63">
        <v>41.34</v>
      </c>
      <c r="H11" s="63">
        <v>42.26</v>
      </c>
      <c r="K11" s="207">
        <f t="shared" si="0"/>
        <v>72626.84</v>
      </c>
      <c r="L11" s="207">
        <f t="shared" si="1"/>
        <v>81342.060800000007</v>
      </c>
    </row>
    <row r="12" spans="1:12" ht="15" thickBot="1">
      <c r="A12" s="62" t="s">
        <v>244</v>
      </c>
      <c r="B12" s="396">
        <v>1433.81</v>
      </c>
      <c r="C12" s="63">
        <v>37.729999999999997</v>
      </c>
      <c r="D12" s="63">
        <v>56.6</v>
      </c>
      <c r="E12" s="63">
        <v>75.459999999999994</v>
      </c>
      <c r="F12" s="63">
        <v>94.33</v>
      </c>
      <c r="G12" s="63">
        <v>42.45</v>
      </c>
      <c r="H12" s="63">
        <v>43.39</v>
      </c>
      <c r="K12" s="207">
        <f t="shared" si="0"/>
        <v>74558.12</v>
      </c>
      <c r="L12" s="207">
        <f t="shared" si="1"/>
        <v>83505.094400000002</v>
      </c>
    </row>
    <row r="13" spans="1:12" ht="15" thickBot="1">
      <c r="A13" s="62" t="s">
        <v>246</v>
      </c>
      <c r="B13" s="396">
        <v>1468.78</v>
      </c>
      <c r="C13" s="63">
        <v>38.65</v>
      </c>
      <c r="D13" s="63">
        <v>57.98</v>
      </c>
      <c r="E13" s="63">
        <v>77.3</v>
      </c>
      <c r="F13" s="63">
        <v>96.63</v>
      </c>
      <c r="G13" s="63">
        <v>43.48</v>
      </c>
      <c r="H13" s="63">
        <v>44.45</v>
      </c>
      <c r="K13" s="207">
        <f t="shared" si="0"/>
        <v>76376.56</v>
      </c>
      <c r="L13" s="207">
        <f t="shared" si="1"/>
        <v>85541.747200000013</v>
      </c>
    </row>
    <row r="14" spans="1:12" ht="15" thickBot="1">
      <c r="A14" s="62" t="s">
        <v>248</v>
      </c>
      <c r="B14" s="396">
        <v>1511.12</v>
      </c>
      <c r="C14" s="63">
        <v>39.770000000000003</v>
      </c>
      <c r="D14" s="63">
        <v>59.66</v>
      </c>
      <c r="E14" s="63">
        <v>79.540000000000006</v>
      </c>
      <c r="F14" s="63">
        <v>99.43</v>
      </c>
      <c r="G14" s="63">
        <v>44.74</v>
      </c>
      <c r="H14" s="63">
        <v>45.74</v>
      </c>
      <c r="K14" s="207">
        <f t="shared" si="0"/>
        <v>78578.239999999991</v>
      </c>
      <c r="L14" s="207">
        <f t="shared" si="1"/>
        <v>88007.628799999991</v>
      </c>
    </row>
    <row r="15" spans="1:12" ht="15" thickBot="1">
      <c r="A15" s="62" t="s">
        <v>251</v>
      </c>
      <c r="B15" s="396">
        <v>1543.37</v>
      </c>
      <c r="C15" s="63">
        <v>40.619999999999997</v>
      </c>
      <c r="D15" s="63">
        <v>60.93</v>
      </c>
      <c r="E15" s="63">
        <v>81.239999999999995</v>
      </c>
      <c r="F15" s="63">
        <v>101.55</v>
      </c>
      <c r="G15" s="63">
        <v>45.7</v>
      </c>
      <c r="H15" s="63">
        <v>46.71</v>
      </c>
      <c r="K15" s="207">
        <f t="shared" si="0"/>
        <v>80255.239999999991</v>
      </c>
      <c r="L15" s="207">
        <f t="shared" si="1"/>
        <v>89885.868799999997</v>
      </c>
    </row>
    <row r="16" spans="1:12" ht="15" thickBot="1">
      <c r="A16" s="62" t="s">
        <v>253</v>
      </c>
      <c r="B16" s="396">
        <v>1575.13</v>
      </c>
      <c r="C16" s="63">
        <v>41.45</v>
      </c>
      <c r="D16" s="63">
        <v>62.18</v>
      </c>
      <c r="E16" s="63">
        <v>82.9</v>
      </c>
      <c r="F16" s="63">
        <v>103.63</v>
      </c>
      <c r="G16" s="63">
        <v>46.63</v>
      </c>
      <c r="H16" s="63">
        <v>47.67</v>
      </c>
      <c r="K16" s="207">
        <f t="shared" si="0"/>
        <v>81906.760000000009</v>
      </c>
      <c r="L16" s="207">
        <f t="shared" si="1"/>
        <v>91735.57120000002</v>
      </c>
    </row>
    <row r="17" spans="1:12" ht="15" thickBot="1">
      <c r="A17" s="62" t="s">
        <v>255</v>
      </c>
      <c r="B17" s="396">
        <v>1694.22</v>
      </c>
      <c r="C17" s="63">
        <v>44.58</v>
      </c>
      <c r="D17" s="63">
        <v>66.87</v>
      </c>
      <c r="E17" s="63">
        <v>89.16</v>
      </c>
      <c r="F17" s="63">
        <v>111.45</v>
      </c>
      <c r="G17" s="63">
        <v>50.15</v>
      </c>
      <c r="H17" s="63">
        <v>51.27</v>
      </c>
      <c r="K17" s="207">
        <f t="shared" si="0"/>
        <v>88099.44</v>
      </c>
      <c r="L17" s="207">
        <f t="shared" si="1"/>
        <v>98671.372800000012</v>
      </c>
    </row>
    <row r="18" spans="1:12" ht="15" thickBot="1">
      <c r="A18" s="62" t="s">
        <v>259</v>
      </c>
      <c r="B18" s="396">
        <v>1738.44</v>
      </c>
      <c r="C18" s="63">
        <v>45.75</v>
      </c>
      <c r="D18" s="63">
        <v>68.63</v>
      </c>
      <c r="E18" s="63">
        <v>91.5</v>
      </c>
      <c r="F18" s="63">
        <v>114.38</v>
      </c>
      <c r="G18" s="63">
        <v>51.47</v>
      </c>
      <c r="H18" s="63">
        <v>52.61</v>
      </c>
      <c r="K18" s="207">
        <f t="shared" si="0"/>
        <v>90398.88</v>
      </c>
      <c r="L18" s="207">
        <f t="shared" si="1"/>
        <v>101246.74560000001</v>
      </c>
    </row>
    <row r="19" spans="1:12" ht="15" thickBot="1">
      <c r="A19" s="62" t="s">
        <v>261</v>
      </c>
      <c r="B19" s="396">
        <v>1783.19</v>
      </c>
      <c r="C19" s="63">
        <v>46.93</v>
      </c>
      <c r="D19" s="63">
        <v>70.400000000000006</v>
      </c>
      <c r="E19" s="63">
        <v>93.86</v>
      </c>
      <c r="F19" s="63">
        <v>117.33</v>
      </c>
      <c r="G19" s="63">
        <v>52.8</v>
      </c>
      <c r="H19" s="63">
        <v>53.97</v>
      </c>
      <c r="K19" s="207">
        <f t="shared" si="0"/>
        <v>92725.88</v>
      </c>
      <c r="L19" s="207">
        <f t="shared" si="1"/>
        <v>103852.98560000001</v>
      </c>
    </row>
    <row r="20" spans="1:12" ht="15" thickBot="1">
      <c r="A20" s="62" t="s">
        <v>263</v>
      </c>
      <c r="B20" s="396">
        <v>1822.92</v>
      </c>
      <c r="C20" s="63">
        <v>47.97</v>
      </c>
      <c r="D20" s="63">
        <v>71.959999999999994</v>
      </c>
      <c r="E20" s="63">
        <v>95.94</v>
      </c>
      <c r="F20" s="63">
        <v>119.93</v>
      </c>
      <c r="G20" s="63">
        <v>53.97</v>
      </c>
      <c r="H20" s="63">
        <v>55.17</v>
      </c>
      <c r="K20" s="207">
        <f t="shared" si="0"/>
        <v>94791.84</v>
      </c>
      <c r="L20" s="207">
        <f t="shared" si="1"/>
        <v>106166.86080000001</v>
      </c>
    </row>
    <row r="21" spans="1:12" ht="15" thickBot="1">
      <c r="A21" s="62" t="s">
        <v>266</v>
      </c>
      <c r="B21" s="396">
        <v>1938.14</v>
      </c>
      <c r="C21" s="63">
        <v>51</v>
      </c>
      <c r="D21" s="63">
        <v>76.5</v>
      </c>
      <c r="E21" s="63">
        <v>102</v>
      </c>
      <c r="F21" s="63">
        <v>127.5</v>
      </c>
      <c r="G21" s="63">
        <v>57.38</v>
      </c>
      <c r="H21" s="63">
        <v>58.65</v>
      </c>
      <c r="K21" s="207">
        <f t="shared" si="0"/>
        <v>100783.28</v>
      </c>
      <c r="L21" s="207">
        <f t="shared" si="1"/>
        <v>112877.27360000001</v>
      </c>
    </row>
    <row r="22" spans="1:12" ht="15" thickBot="1">
      <c r="A22" s="62" t="s">
        <v>268</v>
      </c>
      <c r="B22" s="396">
        <v>1979.92</v>
      </c>
      <c r="C22" s="63">
        <v>52.1</v>
      </c>
      <c r="D22" s="63">
        <v>78.150000000000006</v>
      </c>
      <c r="E22" s="63">
        <v>104.2</v>
      </c>
      <c r="F22" s="63">
        <v>130.25</v>
      </c>
      <c r="G22" s="63">
        <v>58.61</v>
      </c>
      <c r="H22" s="63">
        <v>59.92</v>
      </c>
      <c r="K22" s="207">
        <f t="shared" si="0"/>
        <v>102955.84</v>
      </c>
      <c r="L22" s="207">
        <f t="shared" si="1"/>
        <v>115310.5408</v>
      </c>
    </row>
    <row r="23" spans="1:12" ht="15" thickBot="1">
      <c r="A23" s="62" t="s">
        <v>270</v>
      </c>
      <c r="B23" s="396">
        <v>2025.96</v>
      </c>
      <c r="C23" s="63">
        <v>53.31</v>
      </c>
      <c r="D23" s="63">
        <v>79.97</v>
      </c>
      <c r="E23" s="63">
        <v>106.62</v>
      </c>
      <c r="F23" s="63">
        <v>133.28</v>
      </c>
      <c r="G23" s="63">
        <v>59.97</v>
      </c>
      <c r="H23" s="63">
        <v>61.31</v>
      </c>
      <c r="K23" s="207">
        <f t="shared" si="0"/>
        <v>105349.92</v>
      </c>
      <c r="L23" s="207">
        <f t="shared" si="1"/>
        <v>117991.91040000001</v>
      </c>
    </row>
    <row r="24" spans="1:12" ht="15" thickBot="1">
      <c r="A24" s="62" t="s">
        <v>272</v>
      </c>
      <c r="B24" s="396">
        <v>2117.5</v>
      </c>
      <c r="C24" s="63">
        <v>55.72</v>
      </c>
      <c r="D24" s="63">
        <v>83.58</v>
      </c>
      <c r="E24" s="63">
        <v>111.44</v>
      </c>
      <c r="F24" s="63">
        <v>139.30000000000001</v>
      </c>
      <c r="G24" s="63">
        <v>62.69</v>
      </c>
      <c r="H24" s="63">
        <v>64.08</v>
      </c>
      <c r="K24" s="207">
        <f t="shared" si="0"/>
        <v>110110</v>
      </c>
      <c r="L24" s="207">
        <f t="shared" si="1"/>
        <v>123323.20000000001</v>
      </c>
    </row>
    <row r="25" spans="1:12" ht="15" thickBot="1">
      <c r="A25" s="62" t="s">
        <v>274</v>
      </c>
      <c r="B25" s="396">
        <v>2164.2600000000002</v>
      </c>
      <c r="C25" s="63">
        <v>56.95</v>
      </c>
      <c r="D25" s="63">
        <v>85.43</v>
      </c>
      <c r="E25" s="63">
        <v>113.9</v>
      </c>
      <c r="F25" s="63">
        <v>142.38</v>
      </c>
      <c r="G25" s="63">
        <v>64.069999999999993</v>
      </c>
      <c r="H25" s="63">
        <v>65.489999999999995</v>
      </c>
      <c r="K25" s="207">
        <f t="shared" si="0"/>
        <v>112541.52000000002</v>
      </c>
      <c r="L25" s="207">
        <f t="shared" si="1"/>
        <v>126046.50240000003</v>
      </c>
    </row>
    <row r="26" spans="1:12" ht="15" thickBot="1">
      <c r="A26" s="62" t="s">
        <v>281</v>
      </c>
      <c r="B26" s="396">
        <v>2211.16</v>
      </c>
      <c r="C26" s="63">
        <v>58.19</v>
      </c>
      <c r="D26" s="63">
        <v>87.29</v>
      </c>
      <c r="E26" s="63">
        <v>116.38</v>
      </c>
      <c r="F26" s="63">
        <v>145.47999999999999</v>
      </c>
      <c r="G26" s="63">
        <v>65.459999999999994</v>
      </c>
      <c r="H26" s="63">
        <v>66.92</v>
      </c>
      <c r="K26" s="207">
        <f t="shared" si="0"/>
        <v>114980.31999999999</v>
      </c>
      <c r="L26" s="207">
        <f t="shared" si="1"/>
        <v>128777.9584</v>
      </c>
    </row>
    <row r="27" spans="1:12" ht="15" thickBot="1">
      <c r="A27" s="62" t="s">
        <v>286</v>
      </c>
      <c r="B27" s="396">
        <v>2290.1799999999998</v>
      </c>
      <c r="C27" s="63">
        <v>60.27</v>
      </c>
      <c r="D27" s="63">
        <v>90.41</v>
      </c>
      <c r="E27" s="63">
        <v>120.54</v>
      </c>
      <c r="F27" s="63">
        <v>150.68</v>
      </c>
      <c r="G27" s="63">
        <v>67.8</v>
      </c>
      <c r="H27" s="63">
        <v>69.31</v>
      </c>
      <c r="K27" s="207">
        <f t="shared" si="0"/>
        <v>119089.35999999999</v>
      </c>
      <c r="L27" s="207">
        <f t="shared" si="1"/>
        <v>133380.08319999999</v>
      </c>
    </row>
    <row r="28" spans="1:12" ht="15" thickBot="1">
      <c r="A28" s="62" t="s">
        <v>288</v>
      </c>
      <c r="B28" s="396">
        <v>2338.31</v>
      </c>
      <c r="C28" s="63">
        <v>61.53</v>
      </c>
      <c r="D28" s="63">
        <v>92.3</v>
      </c>
      <c r="E28" s="63">
        <v>123.06</v>
      </c>
      <c r="F28" s="63">
        <v>153.83000000000001</v>
      </c>
      <c r="G28" s="63">
        <v>69.22</v>
      </c>
      <c r="H28" s="63">
        <v>70.760000000000005</v>
      </c>
      <c r="K28" s="207">
        <f t="shared" si="0"/>
        <v>121592.12</v>
      </c>
      <c r="L28" s="207">
        <f t="shared" si="1"/>
        <v>136183.17440000002</v>
      </c>
    </row>
    <row r="29" spans="1:12" ht="15" thickBot="1">
      <c r="A29" s="62" t="s">
        <v>291</v>
      </c>
      <c r="B29" s="396">
        <v>2385.88</v>
      </c>
      <c r="C29" s="63">
        <v>62.79</v>
      </c>
      <c r="D29" s="63">
        <v>94.19</v>
      </c>
      <c r="E29" s="63">
        <v>125.58</v>
      </c>
      <c r="F29" s="63">
        <v>156.97999999999999</v>
      </c>
      <c r="G29" s="63">
        <v>70.64</v>
      </c>
      <c r="H29" s="63">
        <v>72.209999999999994</v>
      </c>
      <c r="K29" s="207">
        <f t="shared" si="0"/>
        <v>124065.76000000001</v>
      </c>
      <c r="L29" s="207">
        <f t="shared" si="1"/>
        <v>138953.65120000002</v>
      </c>
    </row>
    <row r="30" spans="1:12" ht="15" thickBot="1">
      <c r="A30" s="62" t="s">
        <v>294</v>
      </c>
      <c r="B30" s="396">
        <v>2484.7199999999998</v>
      </c>
      <c r="C30" s="63">
        <v>65.39</v>
      </c>
      <c r="D30" s="63">
        <v>98.09</v>
      </c>
      <c r="E30" s="63">
        <v>130.78</v>
      </c>
      <c r="F30" s="63">
        <v>163.47999999999999</v>
      </c>
      <c r="G30" s="63">
        <v>73.56</v>
      </c>
      <c r="H30" s="63">
        <v>75.2</v>
      </c>
      <c r="K30" s="207">
        <f t="shared" si="0"/>
        <v>129205.43999999999</v>
      </c>
      <c r="L30" s="207">
        <f t="shared" si="1"/>
        <v>144710.09280000001</v>
      </c>
    </row>
    <row r="31" spans="1:12" ht="15" thickBot="1">
      <c r="A31" s="62" t="s">
        <v>296</v>
      </c>
      <c r="B31" s="396">
        <v>2533.59</v>
      </c>
      <c r="C31" s="63">
        <v>66.67</v>
      </c>
      <c r="D31" s="63">
        <v>100.01</v>
      </c>
      <c r="E31" s="63">
        <v>133.34</v>
      </c>
      <c r="F31" s="63">
        <v>166.68</v>
      </c>
      <c r="G31" s="63">
        <v>75</v>
      </c>
      <c r="H31" s="63">
        <v>76.67</v>
      </c>
      <c r="K31" s="207">
        <f t="shared" si="0"/>
        <v>131746.68</v>
      </c>
      <c r="L31" s="207">
        <f t="shared" si="1"/>
        <v>147556.28160000002</v>
      </c>
    </row>
    <row r="32" spans="1:12" ht="15" thickBot="1">
      <c r="A32" s="62" t="s">
        <v>298</v>
      </c>
      <c r="B32" s="396">
        <v>2582.6</v>
      </c>
      <c r="C32" s="63">
        <v>67.959999999999994</v>
      </c>
      <c r="D32" s="63">
        <v>101.94</v>
      </c>
      <c r="E32" s="63">
        <v>135.91999999999999</v>
      </c>
      <c r="F32" s="63">
        <v>169.9</v>
      </c>
      <c r="G32" s="63">
        <v>76.459999999999994</v>
      </c>
      <c r="H32" s="63">
        <v>78.150000000000006</v>
      </c>
      <c r="K32" s="207">
        <f t="shared" si="0"/>
        <v>134295.19999999998</v>
      </c>
      <c r="L32" s="207">
        <f t="shared" si="1"/>
        <v>150410.62399999998</v>
      </c>
    </row>
    <row r="34" spans="1:8">
      <c r="A34" s="66"/>
    </row>
    <row r="35" spans="1:8" ht="15" thickBot="1">
      <c r="A35" s="67" t="s">
        <v>423</v>
      </c>
    </row>
    <row r="36" spans="1:8" ht="126.6" thickBot="1">
      <c r="A36" s="64" t="s">
        <v>415</v>
      </c>
      <c r="B36" s="64" t="s">
        <v>424</v>
      </c>
      <c r="C36" s="65" t="s">
        <v>425</v>
      </c>
      <c r="D36" s="65" t="s">
        <v>426</v>
      </c>
      <c r="E36" s="65" t="s">
        <v>427</v>
      </c>
      <c r="F36" s="65" t="s">
        <v>428</v>
      </c>
      <c r="G36" s="65" t="s">
        <v>429</v>
      </c>
      <c r="H36" s="65" t="s">
        <v>430</v>
      </c>
    </row>
    <row r="37" spans="1:8" ht="15" thickBot="1">
      <c r="A37" s="62" t="s">
        <v>431</v>
      </c>
      <c r="B37" s="396">
        <v>39.450000000000003</v>
      </c>
      <c r="C37" s="63">
        <v>52.6</v>
      </c>
      <c r="D37" s="63">
        <v>65.75</v>
      </c>
      <c r="E37" s="63">
        <v>52.6</v>
      </c>
      <c r="F37" s="63">
        <v>52.6</v>
      </c>
      <c r="G37" s="63">
        <v>26.3</v>
      </c>
      <c r="H37" s="63">
        <v>39.450000000000003</v>
      </c>
    </row>
    <row r="38" spans="1:8" ht="15" thickBot="1">
      <c r="A38" s="62" t="s">
        <v>432</v>
      </c>
      <c r="B38" s="396">
        <v>40.729999999999997</v>
      </c>
      <c r="C38" s="63">
        <v>54.3</v>
      </c>
      <c r="D38" s="63">
        <v>67.88</v>
      </c>
      <c r="E38" s="63">
        <v>54.3</v>
      </c>
      <c r="F38" s="63">
        <v>54.3</v>
      </c>
      <c r="G38" s="63">
        <v>27.15</v>
      </c>
      <c r="H38" s="63">
        <v>40.729999999999997</v>
      </c>
    </row>
    <row r="39" spans="1:8" ht="15" thickBot="1">
      <c r="A39" s="62" t="s">
        <v>433</v>
      </c>
      <c r="B39" s="396">
        <v>42.18</v>
      </c>
      <c r="C39" s="63">
        <v>56.24</v>
      </c>
      <c r="D39" s="63">
        <v>70.3</v>
      </c>
      <c r="E39" s="63">
        <v>56.24</v>
      </c>
      <c r="F39" s="63">
        <v>56.24</v>
      </c>
      <c r="G39" s="63">
        <v>28.12</v>
      </c>
      <c r="H39" s="63">
        <v>42.18</v>
      </c>
    </row>
    <row r="40" spans="1:8" ht="15" thickBot="1">
      <c r="A40" s="62" t="s">
        <v>434</v>
      </c>
      <c r="B40" s="396">
        <v>51.87</v>
      </c>
      <c r="C40" s="63">
        <v>69.16</v>
      </c>
      <c r="D40" s="63">
        <v>86.45</v>
      </c>
      <c r="E40" s="63">
        <v>69.16</v>
      </c>
      <c r="F40" s="63">
        <v>69.16</v>
      </c>
      <c r="G40" s="63">
        <v>34.58</v>
      </c>
      <c r="H40" s="63">
        <v>51.87</v>
      </c>
    </row>
    <row r="41" spans="1:8" ht="15" thickBot="1">
      <c r="A41" s="62" t="s">
        <v>435</v>
      </c>
      <c r="B41" s="396">
        <v>53.51</v>
      </c>
      <c r="C41" s="63">
        <v>71.34</v>
      </c>
      <c r="D41" s="63">
        <v>89.18</v>
      </c>
      <c r="E41" s="63">
        <v>71.34</v>
      </c>
      <c r="F41" s="63">
        <v>71.34</v>
      </c>
      <c r="G41" s="63">
        <v>35.67</v>
      </c>
      <c r="H41" s="63">
        <v>53.51</v>
      </c>
    </row>
    <row r="42" spans="1:8" ht="15" thickBot="1">
      <c r="A42" s="62" t="s">
        <v>436</v>
      </c>
      <c r="B42" s="396">
        <v>55.13</v>
      </c>
      <c r="C42" s="63">
        <v>73.5</v>
      </c>
      <c r="D42" s="63">
        <v>91.88</v>
      </c>
      <c r="E42" s="63">
        <v>73.5</v>
      </c>
      <c r="F42" s="63">
        <v>73.5</v>
      </c>
      <c r="G42" s="63">
        <v>36.75</v>
      </c>
      <c r="H42" s="63">
        <v>55.13</v>
      </c>
    </row>
    <row r="43" spans="1:8" ht="15" thickBot="1">
      <c r="A43" s="62" t="s">
        <v>437</v>
      </c>
      <c r="B43" s="396">
        <v>56.6</v>
      </c>
      <c r="C43" s="63">
        <v>75.459999999999994</v>
      </c>
      <c r="D43" s="63">
        <v>94.33</v>
      </c>
      <c r="E43" s="63">
        <v>75.459999999999994</v>
      </c>
      <c r="F43" s="63">
        <v>75.459999999999994</v>
      </c>
      <c r="G43" s="63">
        <v>37.729999999999997</v>
      </c>
      <c r="H43" s="63">
        <v>56.6</v>
      </c>
    </row>
    <row r="44" spans="1:8" ht="15" thickBot="1">
      <c r="A44" s="62" t="s">
        <v>438</v>
      </c>
      <c r="B44" s="396">
        <v>57.98</v>
      </c>
      <c r="C44" s="63">
        <v>77.3</v>
      </c>
      <c r="D44" s="63">
        <v>96.63</v>
      </c>
      <c r="E44" s="63">
        <v>77.3</v>
      </c>
      <c r="F44" s="63">
        <v>77.3</v>
      </c>
      <c r="G44" s="63">
        <v>38.65</v>
      </c>
      <c r="H44" s="63">
        <v>57.98</v>
      </c>
    </row>
    <row r="45" spans="1:8" ht="15" thickBot="1">
      <c r="A45" s="62" t="s">
        <v>439</v>
      </c>
      <c r="B45" s="396">
        <v>59.66</v>
      </c>
      <c r="C45" s="63">
        <v>79.540000000000006</v>
      </c>
      <c r="D45" s="63">
        <v>99.43</v>
      </c>
      <c r="E45" s="63">
        <v>79.540000000000006</v>
      </c>
      <c r="F45" s="63">
        <v>79.540000000000006</v>
      </c>
      <c r="G45" s="63">
        <v>39.770000000000003</v>
      </c>
      <c r="H45" s="63">
        <v>59.66</v>
      </c>
    </row>
    <row r="46" spans="1:8" ht="15" thickBot="1">
      <c r="A46" s="62" t="s">
        <v>440</v>
      </c>
      <c r="B46" s="396">
        <v>60.93</v>
      </c>
      <c r="C46" s="63">
        <v>81.239999999999995</v>
      </c>
      <c r="D46" s="63">
        <v>101.55</v>
      </c>
      <c r="E46" s="63">
        <v>81.239999999999995</v>
      </c>
      <c r="F46" s="63">
        <v>81.239999999999995</v>
      </c>
      <c r="G46" s="63">
        <v>40.619999999999997</v>
      </c>
      <c r="H46" s="63">
        <v>60.93</v>
      </c>
    </row>
    <row r="47" spans="1:8" ht="15" thickBot="1">
      <c r="A47" s="62" t="s">
        <v>441</v>
      </c>
      <c r="B47" s="396">
        <v>62.18</v>
      </c>
      <c r="C47" s="63">
        <v>82.9</v>
      </c>
      <c r="D47" s="63">
        <v>103.63</v>
      </c>
      <c r="E47" s="63">
        <v>82.9</v>
      </c>
      <c r="F47" s="63">
        <v>82.9</v>
      </c>
      <c r="G47" s="63">
        <v>41.45</v>
      </c>
      <c r="H47" s="63">
        <v>62.18</v>
      </c>
    </row>
    <row r="48" spans="1:8" ht="15" thickBot="1">
      <c r="A48" s="62" t="s">
        <v>442</v>
      </c>
      <c r="B48" s="396">
        <v>66.87</v>
      </c>
      <c r="C48" s="63">
        <v>89.16</v>
      </c>
      <c r="D48" s="63">
        <v>111.45</v>
      </c>
      <c r="E48" s="63">
        <v>89.16</v>
      </c>
      <c r="F48" s="63">
        <v>89.16</v>
      </c>
      <c r="G48" s="63">
        <v>44.58</v>
      </c>
      <c r="H48" s="63">
        <v>66.87</v>
      </c>
    </row>
    <row r="49" spans="1:8" ht="15" thickBot="1">
      <c r="A49" s="62" t="s">
        <v>443</v>
      </c>
      <c r="B49" s="396">
        <v>68.63</v>
      </c>
      <c r="C49" s="63">
        <v>91.5</v>
      </c>
      <c r="D49" s="63">
        <v>114.38</v>
      </c>
      <c r="E49" s="63">
        <v>91.5</v>
      </c>
      <c r="F49" s="63">
        <v>91.5</v>
      </c>
      <c r="G49" s="63">
        <v>45.75</v>
      </c>
      <c r="H49" s="63">
        <v>68.63</v>
      </c>
    </row>
    <row r="50" spans="1:8" ht="15" thickBot="1">
      <c r="A50" s="62" t="s">
        <v>444</v>
      </c>
      <c r="B50" s="396">
        <v>70.400000000000006</v>
      </c>
      <c r="C50" s="63">
        <v>93.86</v>
      </c>
      <c r="D50" s="63">
        <v>117.33</v>
      </c>
      <c r="E50" s="63">
        <v>93.86</v>
      </c>
      <c r="F50" s="63">
        <v>93.86</v>
      </c>
      <c r="G50" s="63">
        <v>46.93</v>
      </c>
      <c r="H50" s="63">
        <v>70.400000000000006</v>
      </c>
    </row>
    <row r="51" spans="1:8" ht="15" thickBot="1">
      <c r="A51" s="62" t="s">
        <v>445</v>
      </c>
      <c r="B51" s="396">
        <v>71.959999999999994</v>
      </c>
      <c r="C51" s="63">
        <v>95.94</v>
      </c>
      <c r="D51" s="63">
        <v>119.93</v>
      </c>
      <c r="E51" s="63">
        <v>95.94</v>
      </c>
      <c r="F51" s="63">
        <v>95.94</v>
      </c>
      <c r="G51" s="63">
        <v>47.97</v>
      </c>
      <c r="H51" s="63">
        <v>71.959999999999994</v>
      </c>
    </row>
    <row r="52" spans="1:8" ht="15" thickBot="1">
      <c r="A52" s="62" t="s">
        <v>446</v>
      </c>
      <c r="B52" s="396">
        <v>76.5</v>
      </c>
      <c r="C52" s="63">
        <v>102</v>
      </c>
      <c r="D52" s="63">
        <v>127.5</v>
      </c>
      <c r="E52" s="63">
        <v>102</v>
      </c>
      <c r="F52" s="63">
        <v>102</v>
      </c>
      <c r="G52" s="63">
        <v>51</v>
      </c>
      <c r="H52" s="63">
        <v>76.5</v>
      </c>
    </row>
    <row r="53" spans="1:8" ht="15" thickBot="1">
      <c r="A53" s="62" t="s">
        <v>447</v>
      </c>
      <c r="B53" s="396">
        <v>78.150000000000006</v>
      </c>
      <c r="C53" s="63">
        <v>104.2</v>
      </c>
      <c r="D53" s="63">
        <v>130.25</v>
      </c>
      <c r="E53" s="63">
        <v>104.2</v>
      </c>
      <c r="F53" s="63">
        <v>104.2</v>
      </c>
      <c r="G53" s="63">
        <v>52.1</v>
      </c>
      <c r="H53" s="63">
        <v>78.150000000000006</v>
      </c>
    </row>
    <row r="54" spans="1:8" ht="15" thickBot="1">
      <c r="A54" s="62" t="s">
        <v>448</v>
      </c>
      <c r="B54" s="396">
        <v>79.97</v>
      </c>
      <c r="C54" s="63">
        <v>106.62</v>
      </c>
      <c r="D54" s="63">
        <v>133.28</v>
      </c>
      <c r="E54" s="63">
        <v>106.62</v>
      </c>
      <c r="F54" s="63">
        <v>106.62</v>
      </c>
      <c r="G54" s="63">
        <v>53.31</v>
      </c>
      <c r="H54" s="63">
        <v>79.97</v>
      </c>
    </row>
    <row r="55" spans="1:8" ht="15" thickBot="1">
      <c r="A55" s="62" t="s">
        <v>449</v>
      </c>
      <c r="B55" s="396">
        <v>83.58</v>
      </c>
      <c r="C55" s="63">
        <v>111.44</v>
      </c>
      <c r="D55" s="63">
        <v>139.30000000000001</v>
      </c>
      <c r="E55" s="63">
        <v>111.44</v>
      </c>
      <c r="F55" s="63">
        <v>111.44</v>
      </c>
      <c r="G55" s="63">
        <v>55.72</v>
      </c>
      <c r="H55" s="63">
        <v>83.58</v>
      </c>
    </row>
    <row r="56" spans="1:8" ht="15" thickBot="1">
      <c r="A56" s="62" t="s">
        <v>450</v>
      </c>
      <c r="B56" s="396">
        <v>85.43</v>
      </c>
      <c r="C56" s="63">
        <v>113.9</v>
      </c>
      <c r="D56" s="63">
        <v>142.38</v>
      </c>
      <c r="E56" s="63">
        <v>113.9</v>
      </c>
      <c r="F56" s="63">
        <v>113.9</v>
      </c>
      <c r="G56" s="63">
        <v>56.95</v>
      </c>
      <c r="H56" s="63">
        <v>85.43</v>
      </c>
    </row>
    <row r="57" spans="1:8" ht="15" thickBot="1">
      <c r="A57" s="62" t="s">
        <v>451</v>
      </c>
      <c r="B57" s="396">
        <v>87.29</v>
      </c>
      <c r="C57" s="63">
        <v>116.38</v>
      </c>
      <c r="D57" s="63">
        <v>145.47999999999999</v>
      </c>
      <c r="E57" s="63">
        <v>116.38</v>
      </c>
      <c r="F57" s="63">
        <v>116.38</v>
      </c>
      <c r="G57" s="63">
        <v>58.19</v>
      </c>
      <c r="H57" s="63">
        <v>87.29</v>
      </c>
    </row>
    <row r="58" spans="1:8" ht="15" thickBot="1">
      <c r="A58" s="62" t="s">
        <v>452</v>
      </c>
      <c r="B58" s="396">
        <v>90.41</v>
      </c>
      <c r="C58" s="63">
        <v>120.54</v>
      </c>
      <c r="D58" s="63">
        <v>150.68</v>
      </c>
      <c r="E58" s="63">
        <v>120.54</v>
      </c>
      <c r="F58" s="63">
        <v>120.54</v>
      </c>
      <c r="G58" s="63">
        <v>60.27</v>
      </c>
      <c r="H58" s="63">
        <v>90.41</v>
      </c>
    </row>
    <row r="59" spans="1:8" ht="15" thickBot="1">
      <c r="A59" s="62" t="s">
        <v>453</v>
      </c>
      <c r="B59" s="396">
        <v>92.3</v>
      </c>
      <c r="C59" s="63">
        <v>123.06</v>
      </c>
      <c r="D59" s="63">
        <v>153.83000000000001</v>
      </c>
      <c r="E59" s="63">
        <v>123.06</v>
      </c>
      <c r="F59" s="63">
        <v>123.06</v>
      </c>
      <c r="G59" s="63">
        <v>61.53</v>
      </c>
      <c r="H59" s="63">
        <v>92.3</v>
      </c>
    </row>
    <row r="60" spans="1:8" ht="15" thickBot="1">
      <c r="A60" s="62" t="s">
        <v>454</v>
      </c>
      <c r="B60" s="396">
        <v>94.19</v>
      </c>
      <c r="C60" s="63">
        <v>125.58</v>
      </c>
      <c r="D60" s="63">
        <v>156.97999999999999</v>
      </c>
      <c r="E60" s="63">
        <v>125.58</v>
      </c>
      <c r="F60" s="63">
        <v>125.58</v>
      </c>
      <c r="G60" s="63">
        <v>62.79</v>
      </c>
      <c r="H60" s="63">
        <v>94.19</v>
      </c>
    </row>
    <row r="61" spans="1:8" ht="15" thickBot="1">
      <c r="A61" s="62" t="s">
        <v>455</v>
      </c>
      <c r="B61" s="396">
        <v>98.09</v>
      </c>
      <c r="C61" s="63">
        <v>130.78</v>
      </c>
      <c r="D61" s="63">
        <v>163.47999999999999</v>
      </c>
      <c r="E61" s="63">
        <v>130.78</v>
      </c>
      <c r="F61" s="63">
        <v>130.78</v>
      </c>
      <c r="G61" s="63">
        <v>65.39</v>
      </c>
      <c r="H61" s="63">
        <v>98.09</v>
      </c>
    </row>
    <row r="62" spans="1:8" ht="15" thickBot="1">
      <c r="A62" s="62" t="s">
        <v>456</v>
      </c>
      <c r="B62" s="396">
        <v>100.01</v>
      </c>
      <c r="C62" s="63">
        <v>133.34</v>
      </c>
      <c r="D62" s="63">
        <v>166.68</v>
      </c>
      <c r="E62" s="63">
        <v>133.34</v>
      </c>
      <c r="F62" s="63">
        <v>133.34</v>
      </c>
      <c r="G62" s="63">
        <v>66.67</v>
      </c>
      <c r="H62" s="63">
        <v>100.01</v>
      </c>
    </row>
    <row r="63" spans="1:8" ht="15" thickBot="1">
      <c r="A63" s="62" t="s">
        <v>457</v>
      </c>
      <c r="B63" s="396">
        <v>101.94</v>
      </c>
      <c r="C63" s="63">
        <v>135.91999999999999</v>
      </c>
      <c r="D63" s="63">
        <v>169.9</v>
      </c>
      <c r="E63" s="63">
        <v>135.91999999999999</v>
      </c>
      <c r="F63" s="63">
        <v>135.91999999999999</v>
      </c>
      <c r="G63" s="63">
        <v>67.959999999999994</v>
      </c>
      <c r="H63" s="63">
        <v>101.94</v>
      </c>
    </row>
    <row r="65" spans="1:9">
      <c r="A65" s="66"/>
    </row>
    <row r="66" spans="1:9" ht="15" thickBot="1">
      <c r="A66" s="67" t="s">
        <v>458</v>
      </c>
    </row>
    <row r="67" spans="1:9" ht="112.5" thickBot="1">
      <c r="A67" s="64" t="s">
        <v>415</v>
      </c>
      <c r="B67" s="64" t="s">
        <v>459</v>
      </c>
      <c r="C67" s="65" t="s">
        <v>460</v>
      </c>
      <c r="D67" s="65" t="s">
        <v>461</v>
      </c>
      <c r="E67" s="65" t="s">
        <v>462</v>
      </c>
      <c r="F67" s="65" t="s">
        <v>463</v>
      </c>
      <c r="G67" s="65" t="s">
        <v>464</v>
      </c>
      <c r="H67" s="65" t="s">
        <v>465</v>
      </c>
      <c r="I67" s="65" t="s">
        <v>466</v>
      </c>
    </row>
    <row r="68" spans="1:9" ht="15" thickBot="1">
      <c r="A68" s="62" t="s">
        <v>431</v>
      </c>
      <c r="B68" s="396">
        <v>52.6</v>
      </c>
      <c r="C68" s="63">
        <v>39.450000000000003</v>
      </c>
      <c r="D68" s="63">
        <v>39.450000000000003</v>
      </c>
      <c r="E68" s="63">
        <v>52.6</v>
      </c>
      <c r="F68" s="63">
        <v>52.6</v>
      </c>
      <c r="G68" s="63">
        <v>65.75</v>
      </c>
      <c r="H68" s="63">
        <v>39.450000000000003</v>
      </c>
      <c r="I68" s="63">
        <v>52.6</v>
      </c>
    </row>
    <row r="69" spans="1:9" ht="15" thickBot="1">
      <c r="A69" s="62" t="s">
        <v>432</v>
      </c>
      <c r="B69" s="396">
        <v>54.3</v>
      </c>
      <c r="C69" s="63">
        <v>40.729999999999997</v>
      </c>
      <c r="D69" s="63">
        <v>40.729999999999997</v>
      </c>
      <c r="E69" s="63">
        <v>54.3</v>
      </c>
      <c r="F69" s="63">
        <v>54.3</v>
      </c>
      <c r="G69" s="63">
        <v>67.88</v>
      </c>
      <c r="H69" s="63">
        <v>40.729999999999997</v>
      </c>
      <c r="I69" s="63">
        <v>54.3</v>
      </c>
    </row>
    <row r="70" spans="1:9" ht="15" thickBot="1">
      <c r="A70" s="62" t="s">
        <v>433</v>
      </c>
      <c r="B70" s="396">
        <v>56.24</v>
      </c>
      <c r="C70" s="63">
        <v>42.18</v>
      </c>
      <c r="D70" s="63">
        <v>42.18</v>
      </c>
      <c r="E70" s="63">
        <v>56.24</v>
      </c>
      <c r="F70" s="63">
        <v>56.24</v>
      </c>
      <c r="G70" s="63">
        <v>70.3</v>
      </c>
      <c r="H70" s="63">
        <v>42.18</v>
      </c>
      <c r="I70" s="63">
        <v>56.24</v>
      </c>
    </row>
    <row r="71" spans="1:9" ht="15" thickBot="1">
      <c r="A71" s="62" t="s">
        <v>434</v>
      </c>
      <c r="B71" s="396">
        <v>69.16</v>
      </c>
      <c r="C71" s="63">
        <v>51.87</v>
      </c>
      <c r="D71" s="63">
        <v>51.87</v>
      </c>
      <c r="E71" s="63">
        <v>69.16</v>
      </c>
      <c r="F71" s="63">
        <v>69.16</v>
      </c>
      <c r="G71" s="63">
        <v>86.45</v>
      </c>
      <c r="H71" s="63">
        <v>51.87</v>
      </c>
      <c r="I71" s="63">
        <v>69.16</v>
      </c>
    </row>
    <row r="72" spans="1:9" ht="15" thickBot="1">
      <c r="A72" s="62" t="s">
        <v>435</v>
      </c>
      <c r="B72" s="396">
        <v>71.34</v>
      </c>
      <c r="C72" s="63">
        <v>53.51</v>
      </c>
      <c r="D72" s="63">
        <v>53.51</v>
      </c>
      <c r="E72" s="63">
        <v>71.34</v>
      </c>
      <c r="F72" s="63">
        <v>71.34</v>
      </c>
      <c r="G72" s="63">
        <v>89.18</v>
      </c>
      <c r="H72" s="63">
        <v>53.51</v>
      </c>
      <c r="I72" s="63">
        <v>71.34</v>
      </c>
    </row>
    <row r="73" spans="1:9" ht="15" thickBot="1">
      <c r="A73" s="62" t="s">
        <v>436</v>
      </c>
      <c r="B73" s="396">
        <v>73.5</v>
      </c>
      <c r="C73" s="63">
        <v>55.13</v>
      </c>
      <c r="D73" s="63">
        <v>55.13</v>
      </c>
      <c r="E73" s="63">
        <v>73.5</v>
      </c>
      <c r="F73" s="63">
        <v>73.5</v>
      </c>
      <c r="G73" s="63">
        <v>91.88</v>
      </c>
      <c r="H73" s="63">
        <v>55.13</v>
      </c>
      <c r="I73" s="63">
        <v>73.5</v>
      </c>
    </row>
    <row r="74" spans="1:9" ht="15" thickBot="1">
      <c r="A74" s="62" t="s">
        <v>437</v>
      </c>
      <c r="B74" s="396">
        <v>75.459999999999994</v>
      </c>
      <c r="C74" s="63">
        <v>56.6</v>
      </c>
      <c r="D74" s="63">
        <v>56.6</v>
      </c>
      <c r="E74" s="63">
        <v>75.459999999999994</v>
      </c>
      <c r="F74" s="63">
        <v>75.459999999999994</v>
      </c>
      <c r="G74" s="63">
        <v>94.33</v>
      </c>
      <c r="H74" s="63">
        <v>56.6</v>
      </c>
      <c r="I74" s="63">
        <v>75.459999999999994</v>
      </c>
    </row>
    <row r="75" spans="1:9" ht="15" thickBot="1">
      <c r="A75" s="62" t="s">
        <v>438</v>
      </c>
      <c r="B75" s="396">
        <v>77.3</v>
      </c>
      <c r="C75" s="63">
        <v>57.98</v>
      </c>
      <c r="D75" s="63">
        <v>57.98</v>
      </c>
      <c r="E75" s="63">
        <v>77.3</v>
      </c>
      <c r="F75" s="63">
        <v>77.3</v>
      </c>
      <c r="G75" s="63">
        <v>96.63</v>
      </c>
      <c r="H75" s="63">
        <v>57.98</v>
      </c>
      <c r="I75" s="63">
        <v>77.3</v>
      </c>
    </row>
    <row r="76" spans="1:9" ht="15" thickBot="1">
      <c r="A76" s="62" t="s">
        <v>439</v>
      </c>
      <c r="B76" s="396">
        <v>79.540000000000006</v>
      </c>
      <c r="C76" s="63">
        <v>59.66</v>
      </c>
      <c r="D76" s="63">
        <v>59.66</v>
      </c>
      <c r="E76" s="63">
        <v>79.540000000000006</v>
      </c>
      <c r="F76" s="63">
        <v>79.540000000000006</v>
      </c>
      <c r="G76" s="63">
        <v>99.43</v>
      </c>
      <c r="H76" s="63">
        <v>59.66</v>
      </c>
      <c r="I76" s="63">
        <v>79.540000000000006</v>
      </c>
    </row>
    <row r="77" spans="1:9" ht="15" thickBot="1">
      <c r="A77" s="62" t="s">
        <v>440</v>
      </c>
      <c r="B77" s="396">
        <v>81.239999999999995</v>
      </c>
      <c r="C77" s="63">
        <v>60.93</v>
      </c>
      <c r="D77" s="63">
        <v>60.93</v>
      </c>
      <c r="E77" s="63">
        <v>81.239999999999995</v>
      </c>
      <c r="F77" s="63">
        <v>81.239999999999995</v>
      </c>
      <c r="G77" s="63">
        <v>101.55</v>
      </c>
      <c r="H77" s="63">
        <v>60.93</v>
      </c>
      <c r="I77" s="63">
        <v>81.239999999999995</v>
      </c>
    </row>
    <row r="78" spans="1:9" ht="15" thickBot="1">
      <c r="A78" s="62" t="s">
        <v>441</v>
      </c>
      <c r="B78" s="396">
        <v>82.9</v>
      </c>
      <c r="C78" s="63">
        <v>62.18</v>
      </c>
      <c r="D78" s="63">
        <v>62.18</v>
      </c>
      <c r="E78" s="63">
        <v>82.9</v>
      </c>
      <c r="F78" s="63">
        <v>82.9</v>
      </c>
      <c r="G78" s="63">
        <v>103.63</v>
      </c>
      <c r="H78" s="63">
        <v>62.18</v>
      </c>
      <c r="I78" s="63">
        <v>82.9</v>
      </c>
    </row>
    <row r="79" spans="1:9" ht="15" thickBot="1">
      <c r="A79" s="62" t="s">
        <v>442</v>
      </c>
      <c r="B79" s="396">
        <v>89.16</v>
      </c>
      <c r="C79" s="63">
        <v>66.87</v>
      </c>
      <c r="D79" s="63">
        <v>66.87</v>
      </c>
      <c r="E79" s="63">
        <v>89.16</v>
      </c>
      <c r="F79" s="63">
        <v>89.16</v>
      </c>
      <c r="G79" s="63">
        <v>111.45</v>
      </c>
      <c r="H79" s="63">
        <v>66.87</v>
      </c>
      <c r="I79" s="63">
        <v>89.16</v>
      </c>
    </row>
    <row r="80" spans="1:9" ht="15" thickBot="1">
      <c r="A80" s="62" t="s">
        <v>443</v>
      </c>
      <c r="B80" s="396">
        <v>91.5</v>
      </c>
      <c r="C80" s="63">
        <v>68.63</v>
      </c>
      <c r="D80" s="63">
        <v>68.63</v>
      </c>
      <c r="E80" s="63">
        <v>91.5</v>
      </c>
      <c r="F80" s="63">
        <v>91.5</v>
      </c>
      <c r="G80" s="63">
        <v>114.38</v>
      </c>
      <c r="H80" s="63">
        <v>68.63</v>
      </c>
      <c r="I80" s="63">
        <v>91.5</v>
      </c>
    </row>
    <row r="81" spans="1:9" ht="15" thickBot="1">
      <c r="A81" s="62" t="s">
        <v>444</v>
      </c>
      <c r="B81" s="396">
        <v>93.86</v>
      </c>
      <c r="C81" s="63">
        <v>70.400000000000006</v>
      </c>
      <c r="D81" s="63">
        <v>70.400000000000006</v>
      </c>
      <c r="E81" s="63">
        <v>93.86</v>
      </c>
      <c r="F81" s="63">
        <v>93.86</v>
      </c>
      <c r="G81" s="63">
        <v>117.33</v>
      </c>
      <c r="H81" s="63">
        <v>70.400000000000006</v>
      </c>
      <c r="I81" s="63">
        <v>93.86</v>
      </c>
    </row>
    <row r="82" spans="1:9" ht="15" thickBot="1">
      <c r="A82" s="62" t="s">
        <v>445</v>
      </c>
      <c r="B82" s="396">
        <v>95.94</v>
      </c>
      <c r="C82" s="63">
        <v>71.959999999999994</v>
      </c>
      <c r="D82" s="63">
        <v>71.959999999999994</v>
      </c>
      <c r="E82" s="63">
        <v>95.94</v>
      </c>
      <c r="F82" s="63">
        <v>95.94</v>
      </c>
      <c r="G82" s="63">
        <v>119.93</v>
      </c>
      <c r="H82" s="63">
        <v>71.959999999999994</v>
      </c>
      <c r="I82" s="63">
        <v>95.94</v>
      </c>
    </row>
    <row r="83" spans="1:9" ht="15" thickBot="1">
      <c r="A83" s="62" t="s">
        <v>446</v>
      </c>
      <c r="B83" s="396">
        <v>102</v>
      </c>
      <c r="C83" s="63">
        <v>76.5</v>
      </c>
      <c r="D83" s="63">
        <v>76.5</v>
      </c>
      <c r="E83" s="63">
        <v>102</v>
      </c>
      <c r="F83" s="63">
        <v>102</v>
      </c>
      <c r="G83" s="63">
        <v>127.5</v>
      </c>
      <c r="H83" s="63">
        <v>76.5</v>
      </c>
      <c r="I83" s="63">
        <v>102</v>
      </c>
    </row>
    <row r="84" spans="1:9" ht="15" thickBot="1">
      <c r="A84" s="62" t="s">
        <v>447</v>
      </c>
      <c r="B84" s="396">
        <v>104.2</v>
      </c>
      <c r="C84" s="63">
        <v>78.150000000000006</v>
      </c>
      <c r="D84" s="63">
        <v>78.150000000000006</v>
      </c>
      <c r="E84" s="63">
        <v>104.2</v>
      </c>
      <c r="F84" s="63">
        <v>104.2</v>
      </c>
      <c r="G84" s="63">
        <v>130.25</v>
      </c>
      <c r="H84" s="63">
        <v>78.150000000000006</v>
      </c>
      <c r="I84" s="63">
        <v>104.2</v>
      </c>
    </row>
    <row r="85" spans="1:9" ht="15" thickBot="1">
      <c r="A85" s="62" t="s">
        <v>448</v>
      </c>
      <c r="B85" s="396">
        <v>106.62</v>
      </c>
      <c r="C85" s="63">
        <v>79.97</v>
      </c>
      <c r="D85" s="63">
        <v>79.97</v>
      </c>
      <c r="E85" s="63">
        <v>106.62</v>
      </c>
      <c r="F85" s="63">
        <v>106.62</v>
      </c>
      <c r="G85" s="63">
        <v>133.28</v>
      </c>
      <c r="H85" s="63">
        <v>79.97</v>
      </c>
      <c r="I85" s="63">
        <v>106.62</v>
      </c>
    </row>
    <row r="86" spans="1:9" ht="15" thickBot="1">
      <c r="A86" s="62" t="s">
        <v>449</v>
      </c>
      <c r="B86" s="396">
        <v>111.44</v>
      </c>
      <c r="C86" s="63">
        <v>83.58</v>
      </c>
      <c r="D86" s="63">
        <v>83.58</v>
      </c>
      <c r="E86" s="63">
        <v>111.44</v>
      </c>
      <c r="F86" s="63">
        <v>111.44</v>
      </c>
      <c r="G86" s="63">
        <v>139.30000000000001</v>
      </c>
      <c r="H86" s="63">
        <v>83.58</v>
      </c>
      <c r="I86" s="63">
        <v>111.44</v>
      </c>
    </row>
    <row r="87" spans="1:9" ht="15" thickBot="1">
      <c r="A87" s="62" t="s">
        <v>450</v>
      </c>
      <c r="B87" s="396">
        <v>113.9</v>
      </c>
      <c r="C87" s="63">
        <v>85.43</v>
      </c>
      <c r="D87" s="63">
        <v>85.43</v>
      </c>
      <c r="E87" s="63">
        <v>113.9</v>
      </c>
      <c r="F87" s="63">
        <v>113.9</v>
      </c>
      <c r="G87" s="63">
        <v>142.38</v>
      </c>
      <c r="H87" s="63">
        <v>85.43</v>
      </c>
      <c r="I87" s="63">
        <v>113.9</v>
      </c>
    </row>
    <row r="88" spans="1:9" ht="15" thickBot="1">
      <c r="A88" s="62" t="s">
        <v>451</v>
      </c>
      <c r="B88" s="396">
        <v>116.38</v>
      </c>
      <c r="C88" s="63">
        <v>87.29</v>
      </c>
      <c r="D88" s="63">
        <v>87.29</v>
      </c>
      <c r="E88" s="63">
        <v>116.38</v>
      </c>
      <c r="F88" s="63">
        <v>116.38</v>
      </c>
      <c r="G88" s="63">
        <v>145.47999999999999</v>
      </c>
      <c r="H88" s="63">
        <v>87.29</v>
      </c>
      <c r="I88" s="63">
        <v>116.38</v>
      </c>
    </row>
    <row r="89" spans="1:9" ht="15" thickBot="1">
      <c r="A89" s="62" t="s">
        <v>452</v>
      </c>
      <c r="B89" s="396">
        <v>120.54</v>
      </c>
      <c r="C89" s="63">
        <v>90.41</v>
      </c>
      <c r="D89" s="63">
        <v>90.41</v>
      </c>
      <c r="E89" s="63">
        <v>120.54</v>
      </c>
      <c r="F89" s="63">
        <v>120.54</v>
      </c>
      <c r="G89" s="63">
        <v>150.68</v>
      </c>
      <c r="H89" s="63">
        <v>90.41</v>
      </c>
      <c r="I89" s="63">
        <v>120.54</v>
      </c>
    </row>
    <row r="90" spans="1:9" ht="15" thickBot="1">
      <c r="A90" s="62" t="s">
        <v>453</v>
      </c>
      <c r="B90" s="396">
        <v>123.06</v>
      </c>
      <c r="C90" s="63">
        <v>92.3</v>
      </c>
      <c r="D90" s="63">
        <v>92.3</v>
      </c>
      <c r="E90" s="63">
        <v>123.06</v>
      </c>
      <c r="F90" s="63">
        <v>123.06</v>
      </c>
      <c r="G90" s="63">
        <v>153.83000000000001</v>
      </c>
      <c r="H90" s="63">
        <v>92.3</v>
      </c>
      <c r="I90" s="63">
        <v>123.06</v>
      </c>
    </row>
    <row r="91" spans="1:9" ht="15" thickBot="1">
      <c r="A91" s="62" t="s">
        <v>454</v>
      </c>
      <c r="B91" s="396">
        <v>125.58</v>
      </c>
      <c r="C91" s="63">
        <v>94.19</v>
      </c>
      <c r="D91" s="63">
        <v>94.19</v>
      </c>
      <c r="E91" s="63">
        <v>125.58</v>
      </c>
      <c r="F91" s="63">
        <v>125.58</v>
      </c>
      <c r="G91" s="63">
        <v>156.97999999999999</v>
      </c>
      <c r="H91" s="63">
        <v>94.19</v>
      </c>
      <c r="I91" s="63">
        <v>125.58</v>
      </c>
    </row>
    <row r="92" spans="1:9" ht="15" thickBot="1">
      <c r="A92" s="62" t="s">
        <v>455</v>
      </c>
      <c r="B92" s="396">
        <v>130.78</v>
      </c>
      <c r="C92" s="63">
        <v>98.09</v>
      </c>
      <c r="D92" s="63">
        <v>98.09</v>
      </c>
      <c r="E92" s="63">
        <v>130.78</v>
      </c>
      <c r="F92" s="63">
        <v>130.78</v>
      </c>
      <c r="G92" s="63">
        <v>163.47999999999999</v>
      </c>
      <c r="H92" s="63">
        <v>98.09</v>
      </c>
      <c r="I92" s="63">
        <v>130.78</v>
      </c>
    </row>
    <row r="93" spans="1:9" ht="15" thickBot="1">
      <c r="A93" s="62" t="s">
        <v>456</v>
      </c>
      <c r="B93" s="396">
        <v>133.34</v>
      </c>
      <c r="C93" s="63">
        <v>100.01</v>
      </c>
      <c r="D93" s="63">
        <v>100.01</v>
      </c>
      <c r="E93" s="63">
        <v>133.34</v>
      </c>
      <c r="F93" s="63">
        <v>133.34</v>
      </c>
      <c r="G93" s="63">
        <v>166.68</v>
      </c>
      <c r="H93" s="63">
        <v>100.01</v>
      </c>
      <c r="I93" s="63">
        <v>133.34</v>
      </c>
    </row>
    <row r="94" spans="1:9" ht="15" thickBot="1">
      <c r="A94" s="62" t="s">
        <v>457</v>
      </c>
      <c r="B94" s="396">
        <v>135.91999999999999</v>
      </c>
      <c r="C94" s="63">
        <v>101.94</v>
      </c>
      <c r="D94" s="63">
        <v>101.94</v>
      </c>
      <c r="E94" s="63">
        <v>135.91999999999999</v>
      </c>
      <c r="F94" s="63">
        <v>135.91999999999999</v>
      </c>
      <c r="G94" s="63">
        <v>169.9</v>
      </c>
      <c r="H94" s="63">
        <v>101.94</v>
      </c>
      <c r="I94" s="63">
        <v>135.91999999999999</v>
      </c>
    </row>
  </sheetData>
  <hyperlinks>
    <hyperlink ref="A3" r:id="rId1" xr:uid="{299D1177-B24B-468D-B09D-513BF2918C08}"/>
  </hyperlinks>
  <pageMargins left="0.7" right="0.7" top="0.75" bottom="0.75" header="0.3" footer="0.3"/>
  <pageSetup paperSize="9" orientation="portrait" r:id="rId2"/>
  <headerFooter>
    <oddHeader>&amp;L&amp;"Calibri"&amp;12&amp;K000000 OFFICIAL&amp;1#_x000D_</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1A718-1C76-4558-B99F-99678F324D13}">
  <sheetPr codeName="Sheet10"/>
  <dimension ref="A15:H273"/>
  <sheetViews>
    <sheetView topLeftCell="A249" workbookViewId="0">
      <selection activeCell="A232" sqref="A232:E272"/>
    </sheetView>
  </sheetViews>
  <sheetFormatPr defaultRowHeight="14.45"/>
  <cols>
    <col min="1" max="1" width="67.7109375" bestFit="1" customWidth="1"/>
    <col min="2" max="3" width="17.7109375" customWidth="1"/>
    <col min="4" max="6" width="18.5703125" customWidth="1"/>
    <col min="8" max="8" width="10.140625" bestFit="1" customWidth="1"/>
  </cols>
  <sheetData>
    <row r="15" spans="1:1" ht="20.100000000000001">
      <c r="A15" s="71" t="s">
        <v>467</v>
      </c>
    </row>
    <row r="16" spans="1:1" ht="18">
      <c r="A16" s="72" t="s">
        <v>468</v>
      </c>
    </row>
    <row r="17" spans="1:8" ht="18">
      <c r="A17" s="72" t="s">
        <v>469</v>
      </c>
      <c r="B17" s="395" t="s">
        <v>470</v>
      </c>
    </row>
    <row r="18" spans="1:8" ht="15" thickBot="1">
      <c r="A18" s="67" t="s">
        <v>471</v>
      </c>
    </row>
    <row r="19" spans="1:8" ht="15" thickBot="1">
      <c r="A19" s="64" t="s">
        <v>415</v>
      </c>
      <c r="B19" s="64" t="s">
        <v>416</v>
      </c>
      <c r="C19" s="65" t="s">
        <v>417</v>
      </c>
      <c r="D19" s="65" t="s">
        <v>419</v>
      </c>
      <c r="E19" s="65" t="s">
        <v>420</v>
      </c>
      <c r="F19" s="65" t="s">
        <v>472</v>
      </c>
    </row>
    <row r="20" spans="1:8" ht="15" thickBot="1">
      <c r="A20" s="62" t="s">
        <v>300</v>
      </c>
      <c r="B20" s="396">
        <v>948</v>
      </c>
      <c r="C20" s="63">
        <v>24.95</v>
      </c>
      <c r="D20" s="63">
        <v>49.9</v>
      </c>
      <c r="E20" s="63">
        <v>62.38</v>
      </c>
      <c r="F20" s="63">
        <v>27.45</v>
      </c>
    </row>
    <row r="21" spans="1:8" ht="15" thickBot="1">
      <c r="A21" s="62" t="s">
        <v>302</v>
      </c>
      <c r="B21" s="396">
        <v>977</v>
      </c>
      <c r="C21" s="63">
        <v>25.71</v>
      </c>
      <c r="D21" s="63">
        <v>51.42</v>
      </c>
      <c r="E21" s="63">
        <v>64.28</v>
      </c>
      <c r="F21" s="63">
        <v>28.28</v>
      </c>
    </row>
    <row r="22" spans="1:8" ht="15" thickBot="1">
      <c r="A22" s="62" t="s">
        <v>304</v>
      </c>
      <c r="B22" s="396">
        <v>1009.1</v>
      </c>
      <c r="C22" s="63">
        <v>26.56</v>
      </c>
      <c r="D22" s="63">
        <v>53.12</v>
      </c>
      <c r="E22" s="63">
        <v>66.400000000000006</v>
      </c>
      <c r="F22" s="63">
        <v>29.22</v>
      </c>
    </row>
    <row r="23" spans="1:8" ht="15" thickBot="1">
      <c r="A23" s="62" t="s">
        <v>306</v>
      </c>
      <c r="B23" s="396">
        <v>1068.4000000000001</v>
      </c>
      <c r="C23" s="63">
        <v>28.12</v>
      </c>
      <c r="D23" s="63">
        <v>56.24</v>
      </c>
      <c r="E23" s="63">
        <v>70.3</v>
      </c>
      <c r="F23" s="63">
        <v>30.93</v>
      </c>
    </row>
    <row r="24" spans="1:8" ht="15" thickBot="1">
      <c r="A24" s="62" t="s">
        <v>308</v>
      </c>
      <c r="B24" s="397">
        <v>948</v>
      </c>
      <c r="C24" s="398">
        <v>24.95</v>
      </c>
      <c r="D24" s="398">
        <v>49.9</v>
      </c>
      <c r="E24" s="398">
        <v>62.38</v>
      </c>
      <c r="F24" s="398">
        <v>27.45</v>
      </c>
      <c r="H24" s="207">
        <f>C24*38*52</f>
        <v>49301.200000000004</v>
      </c>
    </row>
    <row r="25" spans="1:8" ht="15" thickBot="1">
      <c r="A25" s="62" t="s">
        <v>310</v>
      </c>
      <c r="B25" s="396">
        <v>977</v>
      </c>
      <c r="C25" s="63">
        <v>25.71</v>
      </c>
      <c r="D25" s="63">
        <v>51.42</v>
      </c>
      <c r="E25" s="63">
        <v>64.28</v>
      </c>
      <c r="F25" s="63">
        <v>28.28</v>
      </c>
    </row>
    <row r="26" spans="1:8" ht="15" thickBot="1">
      <c r="A26" s="62" t="s">
        <v>312</v>
      </c>
      <c r="B26" s="396">
        <v>1009.1</v>
      </c>
      <c r="C26" s="63">
        <v>26.56</v>
      </c>
      <c r="D26" s="63">
        <v>53.12</v>
      </c>
      <c r="E26" s="63">
        <v>66.400000000000006</v>
      </c>
      <c r="F26" s="63">
        <v>29.22</v>
      </c>
    </row>
    <row r="27" spans="1:8" ht="15" thickBot="1">
      <c r="A27" s="62" t="s">
        <v>314</v>
      </c>
      <c r="B27" s="396">
        <v>1052</v>
      </c>
      <c r="C27" s="63">
        <v>27.68</v>
      </c>
      <c r="D27" s="63">
        <v>55.36</v>
      </c>
      <c r="E27" s="63">
        <v>69.2</v>
      </c>
      <c r="F27" s="63">
        <v>30.45</v>
      </c>
    </row>
    <row r="28" spans="1:8" ht="15" thickBot="1">
      <c r="A28" s="62" t="s">
        <v>316</v>
      </c>
      <c r="B28" s="396">
        <v>1068.4000000000001</v>
      </c>
      <c r="C28" s="63">
        <v>28.12</v>
      </c>
      <c r="D28" s="63">
        <v>56.24</v>
      </c>
      <c r="E28" s="63">
        <v>70.3</v>
      </c>
      <c r="F28" s="63">
        <v>30.93</v>
      </c>
    </row>
    <row r="29" spans="1:8" ht="15" thickBot="1">
      <c r="A29" s="62" t="s">
        <v>318</v>
      </c>
      <c r="B29" s="396">
        <v>1068.4000000000001</v>
      </c>
      <c r="C29" s="63">
        <v>28.12</v>
      </c>
      <c r="D29" s="63">
        <v>56.24</v>
      </c>
      <c r="E29" s="63">
        <v>70.3</v>
      </c>
      <c r="F29" s="63">
        <v>30.93</v>
      </c>
    </row>
    <row r="30" spans="1:8" ht="15" thickBot="1">
      <c r="A30" s="62" t="s">
        <v>320</v>
      </c>
      <c r="B30" s="396">
        <v>1105.3</v>
      </c>
      <c r="C30" s="63">
        <v>29.09</v>
      </c>
      <c r="D30" s="63">
        <v>58.18</v>
      </c>
      <c r="E30" s="63">
        <v>72.73</v>
      </c>
      <c r="F30" s="63">
        <v>32</v>
      </c>
    </row>
    <row r="31" spans="1:8" ht="15" thickBot="1">
      <c r="A31" s="62" t="s">
        <v>322</v>
      </c>
      <c r="B31" s="396">
        <v>1140.0999999999999</v>
      </c>
      <c r="C31" s="63">
        <v>30</v>
      </c>
      <c r="D31" s="63">
        <v>60</v>
      </c>
      <c r="E31" s="63">
        <v>75</v>
      </c>
      <c r="F31" s="63">
        <v>33</v>
      </c>
    </row>
    <row r="32" spans="1:8" ht="15" thickBot="1">
      <c r="A32" s="62" t="s">
        <v>324</v>
      </c>
      <c r="B32" s="396">
        <v>1203.0999999999999</v>
      </c>
      <c r="C32" s="63">
        <v>31.66</v>
      </c>
      <c r="D32" s="63">
        <v>63.32</v>
      </c>
      <c r="E32" s="63">
        <v>79.150000000000006</v>
      </c>
      <c r="F32" s="63">
        <v>34.83</v>
      </c>
    </row>
    <row r="33" spans="1:6" ht="15" thickBot="1">
      <c r="A33" s="62" t="s">
        <v>326</v>
      </c>
      <c r="B33" s="396">
        <v>1140.0999999999999</v>
      </c>
      <c r="C33" s="63">
        <v>30</v>
      </c>
      <c r="D33" s="63">
        <v>60</v>
      </c>
      <c r="E33" s="63">
        <v>75</v>
      </c>
      <c r="F33" s="63">
        <v>33</v>
      </c>
    </row>
    <row r="34" spans="1:6" ht="15" thickBot="1">
      <c r="A34" s="62" t="s">
        <v>328</v>
      </c>
      <c r="B34" s="396">
        <v>1156</v>
      </c>
      <c r="C34" s="63">
        <v>30.42</v>
      </c>
      <c r="D34" s="63">
        <v>60.84</v>
      </c>
      <c r="E34" s="63">
        <v>76.05</v>
      </c>
      <c r="F34" s="63">
        <v>33.46</v>
      </c>
    </row>
    <row r="35" spans="1:6" ht="15" thickBot="1">
      <c r="A35" s="62" t="s">
        <v>330</v>
      </c>
      <c r="B35" s="396">
        <v>1171.7</v>
      </c>
      <c r="C35" s="63">
        <v>30.83</v>
      </c>
      <c r="D35" s="63">
        <v>61.66</v>
      </c>
      <c r="E35" s="63">
        <v>77.08</v>
      </c>
      <c r="F35" s="63">
        <v>33.909999999999997</v>
      </c>
    </row>
    <row r="36" spans="1:6" ht="15" thickBot="1">
      <c r="A36" s="62" t="s">
        <v>332</v>
      </c>
      <c r="B36" s="396">
        <v>1188.2</v>
      </c>
      <c r="C36" s="63">
        <v>31.27</v>
      </c>
      <c r="D36" s="63">
        <v>62.54</v>
      </c>
      <c r="E36" s="63">
        <v>78.180000000000007</v>
      </c>
      <c r="F36" s="63">
        <v>34.4</v>
      </c>
    </row>
    <row r="37" spans="1:6" ht="15" thickBot="1">
      <c r="A37" s="62" t="s">
        <v>334</v>
      </c>
      <c r="B37" s="396">
        <v>1204</v>
      </c>
      <c r="C37" s="63">
        <v>31.68</v>
      </c>
      <c r="D37" s="63">
        <v>63.36</v>
      </c>
      <c r="E37" s="63">
        <v>79.2</v>
      </c>
      <c r="F37" s="63">
        <v>34.85</v>
      </c>
    </row>
    <row r="38" spans="1:6" ht="15" thickBot="1">
      <c r="A38" s="62" t="s">
        <v>336</v>
      </c>
      <c r="B38" s="396">
        <v>1258.5999999999999</v>
      </c>
      <c r="C38" s="63">
        <v>33.119999999999997</v>
      </c>
      <c r="D38" s="63">
        <v>66.239999999999995</v>
      </c>
      <c r="E38" s="63">
        <v>82.8</v>
      </c>
      <c r="F38" s="63">
        <v>36.43</v>
      </c>
    </row>
    <row r="39" spans="1:6" ht="15" thickBot="1">
      <c r="A39" s="62" t="s">
        <v>338</v>
      </c>
      <c r="B39" s="396">
        <v>1277.8</v>
      </c>
      <c r="C39" s="63">
        <v>33.630000000000003</v>
      </c>
      <c r="D39" s="63">
        <v>67.260000000000005</v>
      </c>
      <c r="E39" s="63">
        <v>84.08</v>
      </c>
      <c r="F39" s="63">
        <v>36.99</v>
      </c>
    </row>
    <row r="40" spans="1:6" ht="15" thickBot="1">
      <c r="A40" s="62" t="s">
        <v>340</v>
      </c>
      <c r="B40" s="396">
        <v>1296.9000000000001</v>
      </c>
      <c r="C40" s="63">
        <v>34.130000000000003</v>
      </c>
      <c r="D40" s="63">
        <v>68.260000000000005</v>
      </c>
      <c r="E40" s="63">
        <v>85.33</v>
      </c>
      <c r="F40" s="63">
        <v>37.54</v>
      </c>
    </row>
    <row r="41" spans="1:6" ht="15" thickBot="1">
      <c r="A41" s="62" t="s">
        <v>342</v>
      </c>
      <c r="B41" s="396">
        <v>1316.1</v>
      </c>
      <c r="C41" s="63">
        <v>34.630000000000003</v>
      </c>
      <c r="D41" s="63">
        <v>69.260000000000005</v>
      </c>
      <c r="E41" s="63">
        <v>86.58</v>
      </c>
      <c r="F41" s="63">
        <v>38.090000000000003</v>
      </c>
    </row>
    <row r="42" spans="1:6" ht="15" thickBot="1">
      <c r="A42" s="62" t="s">
        <v>344</v>
      </c>
      <c r="B42" s="396">
        <v>1335.2</v>
      </c>
      <c r="C42" s="63">
        <v>35.14</v>
      </c>
      <c r="D42" s="63">
        <v>70.28</v>
      </c>
      <c r="E42" s="63">
        <v>87.85</v>
      </c>
      <c r="F42" s="63">
        <v>38.65</v>
      </c>
    </row>
    <row r="43" spans="1:6" ht="15" thickBot="1">
      <c r="A43" s="62" t="s">
        <v>346</v>
      </c>
      <c r="B43" s="396">
        <v>1354.1</v>
      </c>
      <c r="C43" s="63">
        <v>35.630000000000003</v>
      </c>
      <c r="D43" s="63">
        <v>71.260000000000005</v>
      </c>
      <c r="E43" s="63">
        <v>89.08</v>
      </c>
      <c r="F43" s="63">
        <v>39.19</v>
      </c>
    </row>
    <row r="44" spans="1:6" ht="15" thickBot="1">
      <c r="A44" s="62" t="s">
        <v>348</v>
      </c>
      <c r="B44" s="396">
        <v>1316.1</v>
      </c>
      <c r="C44" s="63">
        <v>34.630000000000003</v>
      </c>
      <c r="D44" s="63">
        <v>69.260000000000005</v>
      </c>
      <c r="E44" s="63">
        <v>86.58</v>
      </c>
      <c r="F44" s="63">
        <v>38.090000000000003</v>
      </c>
    </row>
    <row r="45" spans="1:6" ht="15" thickBot="1">
      <c r="A45" s="62" t="s">
        <v>350</v>
      </c>
      <c r="B45" s="396">
        <v>1335.2</v>
      </c>
      <c r="C45" s="63">
        <v>35.14</v>
      </c>
      <c r="D45" s="63">
        <v>70.28</v>
      </c>
      <c r="E45" s="63">
        <v>87.85</v>
      </c>
      <c r="F45" s="63">
        <v>38.65</v>
      </c>
    </row>
    <row r="46" spans="1:6" ht="15" thickBot="1">
      <c r="A46" s="62" t="s">
        <v>352</v>
      </c>
      <c r="B46" s="396">
        <v>1354.1</v>
      </c>
      <c r="C46" s="63">
        <v>35.630000000000003</v>
      </c>
      <c r="D46" s="63">
        <v>71.260000000000005</v>
      </c>
      <c r="E46" s="63">
        <v>89.08</v>
      </c>
      <c r="F46" s="63">
        <v>39.19</v>
      </c>
    </row>
    <row r="47" spans="1:6" ht="15" thickBot="1">
      <c r="A47" s="62" t="s">
        <v>354</v>
      </c>
      <c r="B47" s="396">
        <v>1359</v>
      </c>
      <c r="C47" s="63">
        <v>35.76</v>
      </c>
      <c r="D47" s="63">
        <v>71.52</v>
      </c>
      <c r="E47" s="63">
        <v>89.4</v>
      </c>
      <c r="F47" s="63">
        <v>39.340000000000003</v>
      </c>
    </row>
    <row r="48" spans="1:6" ht="15" thickBot="1">
      <c r="A48" s="62" t="s">
        <v>356</v>
      </c>
      <c r="B48" s="396">
        <v>1517.6</v>
      </c>
      <c r="C48" s="63">
        <v>39.94</v>
      </c>
      <c r="D48" s="63">
        <v>79.88</v>
      </c>
      <c r="E48" s="63">
        <v>99.85</v>
      </c>
      <c r="F48" s="63">
        <v>43.93</v>
      </c>
    </row>
    <row r="49" spans="1:6" ht="15" thickBot="1">
      <c r="A49" s="62" t="s">
        <v>358</v>
      </c>
      <c r="B49" s="396">
        <v>1536.6</v>
      </c>
      <c r="C49" s="63">
        <v>40.44</v>
      </c>
      <c r="D49" s="63">
        <v>80.88</v>
      </c>
      <c r="E49" s="63">
        <v>101.1</v>
      </c>
      <c r="F49" s="63">
        <v>44.48</v>
      </c>
    </row>
    <row r="50" spans="1:6" ht="15" thickBot="1">
      <c r="A50" s="62" t="s">
        <v>360</v>
      </c>
      <c r="B50" s="396">
        <v>1555.4</v>
      </c>
      <c r="C50" s="63">
        <v>40.93</v>
      </c>
      <c r="D50" s="63">
        <v>81.86</v>
      </c>
      <c r="E50" s="63">
        <v>102.33</v>
      </c>
      <c r="F50" s="63">
        <v>45.02</v>
      </c>
    </row>
    <row r="51" spans="1:6" ht="15" thickBot="1">
      <c r="A51" s="62" t="s">
        <v>362</v>
      </c>
      <c r="B51" s="397">
        <v>1517.6</v>
      </c>
      <c r="C51" s="398">
        <v>39.94</v>
      </c>
      <c r="D51" s="398">
        <v>79.88</v>
      </c>
      <c r="E51" s="398">
        <v>99.85</v>
      </c>
      <c r="F51" s="398">
        <v>43.93</v>
      </c>
    </row>
    <row r="52" spans="1:6" ht="15" thickBot="1">
      <c r="A52" s="62" t="s">
        <v>364</v>
      </c>
      <c r="B52" s="396">
        <v>1536.6</v>
      </c>
      <c r="C52" s="63">
        <v>40.44</v>
      </c>
      <c r="D52" s="63">
        <v>80.88</v>
      </c>
      <c r="E52" s="63">
        <v>101.1</v>
      </c>
      <c r="F52" s="63">
        <v>44.48</v>
      </c>
    </row>
    <row r="53" spans="1:6" ht="15" thickBot="1">
      <c r="A53" s="62" t="s">
        <v>366</v>
      </c>
      <c r="B53" s="396">
        <v>1555.4</v>
      </c>
      <c r="C53" s="63">
        <v>40.93</v>
      </c>
      <c r="D53" s="63">
        <v>81.86</v>
      </c>
      <c r="E53" s="63">
        <v>102.33</v>
      </c>
      <c r="F53" s="63">
        <v>45.02</v>
      </c>
    </row>
    <row r="54" spans="1:6" ht="15" thickBot="1">
      <c r="A54" s="62" t="s">
        <v>368</v>
      </c>
      <c r="B54" s="396">
        <v>1613.5</v>
      </c>
      <c r="C54" s="63">
        <v>42.46</v>
      </c>
      <c r="D54" s="63">
        <v>84.92</v>
      </c>
      <c r="E54" s="63">
        <v>106.15</v>
      </c>
      <c r="F54" s="63">
        <v>46.71</v>
      </c>
    </row>
    <row r="55" spans="1:6" ht="15" thickBot="1">
      <c r="A55" s="62" t="s">
        <v>370</v>
      </c>
      <c r="B55" s="396">
        <v>1628.3</v>
      </c>
      <c r="C55" s="63">
        <v>42.85</v>
      </c>
      <c r="D55" s="63">
        <v>85.7</v>
      </c>
      <c r="E55" s="63">
        <v>107.13</v>
      </c>
      <c r="F55" s="63">
        <v>47.14</v>
      </c>
    </row>
    <row r="56" spans="1:6" ht="15" thickBot="1">
      <c r="A56" s="62" t="s">
        <v>372</v>
      </c>
      <c r="B56" s="396">
        <v>1647.7</v>
      </c>
      <c r="C56" s="63">
        <v>43.36</v>
      </c>
      <c r="D56" s="63">
        <v>86.72</v>
      </c>
      <c r="E56" s="63">
        <v>108.4</v>
      </c>
      <c r="F56" s="63">
        <v>47.7</v>
      </c>
    </row>
    <row r="57" spans="1:6" ht="15" thickBot="1">
      <c r="A57" s="62" t="s">
        <v>374</v>
      </c>
      <c r="B57" s="396">
        <v>1667.4</v>
      </c>
      <c r="C57" s="63">
        <v>43.88</v>
      </c>
      <c r="D57" s="63">
        <v>87.76</v>
      </c>
      <c r="E57" s="63">
        <v>109.7</v>
      </c>
      <c r="F57" s="63">
        <v>48.27</v>
      </c>
    </row>
    <row r="58" spans="1:6" ht="15" thickBot="1">
      <c r="A58" s="62" t="s">
        <v>376</v>
      </c>
      <c r="B58" s="396">
        <v>1686.4</v>
      </c>
      <c r="C58" s="63">
        <v>44.38</v>
      </c>
      <c r="D58" s="63">
        <v>88.76</v>
      </c>
      <c r="E58" s="63">
        <v>110.95</v>
      </c>
      <c r="F58" s="63">
        <v>48.82</v>
      </c>
    </row>
    <row r="59" spans="1:6" ht="15" thickBot="1">
      <c r="A59" s="62" t="s">
        <v>378</v>
      </c>
      <c r="B59" s="396">
        <v>1705.5</v>
      </c>
      <c r="C59" s="63">
        <v>44.88</v>
      </c>
      <c r="D59" s="63">
        <v>89.76</v>
      </c>
      <c r="E59" s="63">
        <v>112.2</v>
      </c>
      <c r="F59" s="63">
        <v>49.37</v>
      </c>
    </row>
    <row r="60" spans="1:6" ht="15" thickBot="1">
      <c r="A60" s="67" t="s">
        <v>423</v>
      </c>
    </row>
    <row r="61" spans="1:6" ht="28.5" thickBot="1">
      <c r="A61" s="64" t="s">
        <v>415</v>
      </c>
      <c r="B61" s="65" t="s">
        <v>473</v>
      </c>
      <c r="C61" s="65" t="s">
        <v>419</v>
      </c>
      <c r="D61" s="65" t="s">
        <v>420</v>
      </c>
      <c r="E61" s="65" t="s">
        <v>472</v>
      </c>
      <c r="F61" s="65" t="s">
        <v>421</v>
      </c>
    </row>
    <row r="62" spans="1:6" ht="15" thickBot="1">
      <c r="A62" s="62" t="s">
        <v>300</v>
      </c>
      <c r="B62" s="63">
        <v>35.96</v>
      </c>
      <c r="C62" s="63">
        <v>47.94</v>
      </c>
      <c r="D62" s="63">
        <v>59.93</v>
      </c>
      <c r="E62" s="63">
        <v>26.37</v>
      </c>
      <c r="F62" s="63">
        <v>27.57</v>
      </c>
    </row>
    <row r="63" spans="1:6" ht="15" thickBot="1">
      <c r="A63" s="62" t="s">
        <v>302</v>
      </c>
      <c r="B63" s="63">
        <v>37.26</v>
      </c>
      <c r="C63" s="63">
        <v>49.68</v>
      </c>
      <c r="D63" s="63">
        <v>62.1</v>
      </c>
      <c r="E63" s="63">
        <v>27.32</v>
      </c>
      <c r="F63" s="63">
        <v>28.57</v>
      </c>
    </row>
    <row r="64" spans="1:6" ht="15" thickBot="1">
      <c r="A64" s="62" t="s">
        <v>304</v>
      </c>
      <c r="B64" s="63">
        <v>38.49</v>
      </c>
      <c r="C64" s="63">
        <v>51.32</v>
      </c>
      <c r="D64" s="63">
        <v>64.150000000000006</v>
      </c>
      <c r="E64" s="63">
        <v>28.23</v>
      </c>
      <c r="F64" s="63">
        <v>29.51</v>
      </c>
    </row>
    <row r="65" spans="1:6" ht="15" thickBot="1">
      <c r="A65" s="62" t="s">
        <v>306</v>
      </c>
      <c r="B65" s="63">
        <v>40.76</v>
      </c>
      <c r="C65" s="63">
        <v>54.34</v>
      </c>
      <c r="D65" s="63">
        <v>67.930000000000007</v>
      </c>
      <c r="E65" s="63">
        <v>29.89</v>
      </c>
      <c r="F65" s="63">
        <v>31.25</v>
      </c>
    </row>
    <row r="66" spans="1:6" ht="15" thickBot="1">
      <c r="A66" s="62" t="s">
        <v>308</v>
      </c>
      <c r="B66" s="63">
        <v>35.96</v>
      </c>
      <c r="C66" s="63">
        <v>47.94</v>
      </c>
      <c r="D66" s="63">
        <v>59.93</v>
      </c>
      <c r="E66" s="63">
        <v>26.37</v>
      </c>
      <c r="F66" s="63">
        <v>27.57</v>
      </c>
    </row>
    <row r="67" spans="1:6" ht="15" thickBot="1">
      <c r="A67" s="62" t="s">
        <v>310</v>
      </c>
      <c r="B67" s="63">
        <v>37.26</v>
      </c>
      <c r="C67" s="63">
        <v>49.68</v>
      </c>
      <c r="D67" s="63">
        <v>62.1</v>
      </c>
      <c r="E67" s="63">
        <v>27.32</v>
      </c>
      <c r="F67" s="63">
        <v>28.57</v>
      </c>
    </row>
    <row r="68" spans="1:6" ht="15" thickBot="1">
      <c r="A68" s="62" t="s">
        <v>312</v>
      </c>
      <c r="B68" s="63">
        <v>38.49</v>
      </c>
      <c r="C68" s="63">
        <v>51.32</v>
      </c>
      <c r="D68" s="63">
        <v>64.150000000000006</v>
      </c>
      <c r="E68" s="63">
        <v>28.23</v>
      </c>
      <c r="F68" s="63">
        <v>29.51</v>
      </c>
    </row>
    <row r="69" spans="1:6" ht="15" thickBot="1">
      <c r="A69" s="62" t="s">
        <v>314</v>
      </c>
      <c r="B69" s="63">
        <v>40.130000000000003</v>
      </c>
      <c r="C69" s="63">
        <v>53.5</v>
      </c>
      <c r="D69" s="63">
        <v>66.88</v>
      </c>
      <c r="E69" s="63">
        <v>29.43</v>
      </c>
      <c r="F69" s="63">
        <v>30.76</v>
      </c>
    </row>
    <row r="70" spans="1:6" ht="15" thickBot="1">
      <c r="A70" s="62" t="s">
        <v>316</v>
      </c>
      <c r="B70" s="63">
        <v>40.76</v>
      </c>
      <c r="C70" s="63">
        <v>54.34</v>
      </c>
      <c r="D70" s="63">
        <v>67.930000000000007</v>
      </c>
      <c r="E70" s="63">
        <v>29.89</v>
      </c>
      <c r="F70" s="63">
        <v>31.25</v>
      </c>
    </row>
    <row r="71" spans="1:6" ht="15" thickBot="1">
      <c r="A71" s="62" t="s">
        <v>318</v>
      </c>
      <c r="B71" s="63">
        <v>40.76</v>
      </c>
      <c r="C71" s="63">
        <v>54.34</v>
      </c>
      <c r="D71" s="63">
        <v>67.930000000000007</v>
      </c>
      <c r="E71" s="63">
        <v>29.89</v>
      </c>
      <c r="F71" s="63">
        <v>31.25</v>
      </c>
    </row>
    <row r="72" spans="1:6" ht="15" thickBot="1">
      <c r="A72" s="62" t="s">
        <v>320</v>
      </c>
      <c r="B72" s="63">
        <v>42.15</v>
      </c>
      <c r="C72" s="63">
        <v>56.2</v>
      </c>
      <c r="D72" s="63">
        <v>70.25</v>
      </c>
      <c r="E72" s="63">
        <v>30.91</v>
      </c>
      <c r="F72" s="63">
        <v>32.32</v>
      </c>
    </row>
    <row r="73" spans="1:6" ht="15" thickBot="1">
      <c r="A73" s="62" t="s">
        <v>322</v>
      </c>
      <c r="B73" s="63">
        <v>43.49</v>
      </c>
      <c r="C73" s="63">
        <v>57.98</v>
      </c>
      <c r="D73" s="63">
        <v>72.48</v>
      </c>
      <c r="E73" s="63">
        <v>31.89</v>
      </c>
      <c r="F73" s="63">
        <v>33.340000000000003</v>
      </c>
    </row>
    <row r="74" spans="1:6" ht="15" thickBot="1">
      <c r="A74" s="62" t="s">
        <v>324</v>
      </c>
      <c r="B74" s="63">
        <v>45.89</v>
      </c>
      <c r="C74" s="63">
        <v>61.18</v>
      </c>
      <c r="D74" s="63">
        <v>76.48</v>
      </c>
      <c r="E74" s="63">
        <v>33.65</v>
      </c>
      <c r="F74" s="63">
        <v>35.18</v>
      </c>
    </row>
    <row r="75" spans="1:6" ht="15" thickBot="1">
      <c r="A75" s="62" t="s">
        <v>326</v>
      </c>
      <c r="B75" s="63">
        <v>43.49</v>
      </c>
      <c r="C75" s="63">
        <v>57.98</v>
      </c>
      <c r="D75" s="63">
        <v>72.48</v>
      </c>
      <c r="E75" s="63">
        <v>31.89</v>
      </c>
      <c r="F75" s="63">
        <v>33.340000000000003</v>
      </c>
    </row>
    <row r="76" spans="1:6" ht="15" thickBot="1">
      <c r="A76" s="62" t="s">
        <v>328</v>
      </c>
      <c r="B76" s="63">
        <v>44.09</v>
      </c>
      <c r="C76" s="63">
        <v>58.78</v>
      </c>
      <c r="D76" s="63">
        <v>73.48</v>
      </c>
      <c r="E76" s="63">
        <v>32.33</v>
      </c>
      <c r="F76" s="63">
        <v>33.799999999999997</v>
      </c>
    </row>
    <row r="77" spans="1:6" ht="15" thickBot="1">
      <c r="A77" s="62" t="s">
        <v>330</v>
      </c>
      <c r="B77" s="63">
        <v>44.69</v>
      </c>
      <c r="C77" s="63">
        <v>59.58</v>
      </c>
      <c r="D77" s="63">
        <v>74.48</v>
      </c>
      <c r="E77" s="63">
        <v>32.770000000000003</v>
      </c>
      <c r="F77" s="63">
        <v>34.26</v>
      </c>
    </row>
    <row r="78" spans="1:6" ht="15" thickBot="1">
      <c r="A78" s="62" t="s">
        <v>332</v>
      </c>
      <c r="B78" s="63">
        <v>45.32</v>
      </c>
      <c r="C78" s="63">
        <v>60.42</v>
      </c>
      <c r="D78" s="63">
        <v>75.53</v>
      </c>
      <c r="E78" s="63">
        <v>33.229999999999997</v>
      </c>
      <c r="F78" s="63">
        <v>34.74</v>
      </c>
    </row>
    <row r="79" spans="1:6" ht="15" thickBot="1">
      <c r="A79" s="62" t="s">
        <v>334</v>
      </c>
      <c r="B79" s="63">
        <v>45.92</v>
      </c>
      <c r="C79" s="63">
        <v>61.22</v>
      </c>
      <c r="D79" s="63">
        <v>76.53</v>
      </c>
      <c r="E79" s="63">
        <v>33.67</v>
      </c>
      <c r="F79" s="63">
        <v>35.200000000000003</v>
      </c>
    </row>
    <row r="80" spans="1:6" ht="15" thickBot="1">
      <c r="A80" s="62" t="s">
        <v>336</v>
      </c>
      <c r="B80" s="63">
        <v>48</v>
      </c>
      <c r="C80" s="63">
        <v>64</v>
      </c>
      <c r="D80" s="63">
        <v>80</v>
      </c>
      <c r="E80" s="63">
        <v>35.200000000000003</v>
      </c>
      <c r="F80" s="63">
        <v>36.799999999999997</v>
      </c>
    </row>
    <row r="81" spans="1:6" ht="15" thickBot="1">
      <c r="A81" s="62" t="s">
        <v>338</v>
      </c>
      <c r="B81" s="63">
        <v>48.74</v>
      </c>
      <c r="C81" s="63">
        <v>64.98</v>
      </c>
      <c r="D81" s="63">
        <v>81.23</v>
      </c>
      <c r="E81" s="63">
        <v>35.74</v>
      </c>
      <c r="F81" s="63">
        <v>37.36</v>
      </c>
    </row>
    <row r="82" spans="1:6" ht="15" thickBot="1">
      <c r="A82" s="62" t="s">
        <v>340</v>
      </c>
      <c r="B82" s="63">
        <v>49.46</v>
      </c>
      <c r="C82" s="63">
        <v>65.94</v>
      </c>
      <c r="D82" s="63">
        <v>82.43</v>
      </c>
      <c r="E82" s="63">
        <v>36.270000000000003</v>
      </c>
      <c r="F82" s="63">
        <v>37.92</v>
      </c>
    </row>
    <row r="83" spans="1:6" ht="15" thickBot="1">
      <c r="A83" s="62" t="s">
        <v>342</v>
      </c>
      <c r="B83" s="63">
        <v>50.19</v>
      </c>
      <c r="C83" s="63">
        <v>66.92</v>
      </c>
      <c r="D83" s="63">
        <v>83.65</v>
      </c>
      <c r="E83" s="63">
        <v>36.81</v>
      </c>
      <c r="F83" s="63">
        <v>38.479999999999997</v>
      </c>
    </row>
    <row r="84" spans="1:6" ht="15" thickBot="1">
      <c r="A84" s="62" t="s">
        <v>344</v>
      </c>
      <c r="B84" s="63">
        <v>50.93</v>
      </c>
      <c r="C84" s="63">
        <v>67.900000000000006</v>
      </c>
      <c r="D84" s="63">
        <v>84.88</v>
      </c>
      <c r="E84" s="63">
        <v>37.35</v>
      </c>
      <c r="F84" s="63">
        <v>39.04</v>
      </c>
    </row>
    <row r="85" spans="1:6" ht="15" thickBot="1">
      <c r="A85" s="62" t="s">
        <v>346</v>
      </c>
      <c r="B85" s="63">
        <v>51.65</v>
      </c>
      <c r="C85" s="63">
        <v>68.86</v>
      </c>
      <c r="D85" s="63">
        <v>86.08</v>
      </c>
      <c r="E85" s="63">
        <v>37.869999999999997</v>
      </c>
      <c r="F85" s="63">
        <v>39.590000000000003</v>
      </c>
    </row>
    <row r="86" spans="1:6" ht="15" thickBot="1">
      <c r="A86" s="62" t="s">
        <v>348</v>
      </c>
      <c r="B86" s="63">
        <v>50.19</v>
      </c>
      <c r="C86" s="63">
        <v>66.92</v>
      </c>
      <c r="D86" s="63">
        <v>83.65</v>
      </c>
      <c r="E86" s="63">
        <v>36.81</v>
      </c>
      <c r="F86" s="63">
        <v>38.479999999999997</v>
      </c>
    </row>
    <row r="87" spans="1:6" ht="15" thickBot="1">
      <c r="A87" s="62" t="s">
        <v>350</v>
      </c>
      <c r="B87" s="63">
        <v>50.93</v>
      </c>
      <c r="C87" s="63">
        <v>67.900000000000006</v>
      </c>
      <c r="D87" s="63">
        <v>84.88</v>
      </c>
      <c r="E87" s="63">
        <v>37.35</v>
      </c>
      <c r="F87" s="63">
        <v>39.04</v>
      </c>
    </row>
    <row r="88" spans="1:6" ht="15" thickBot="1">
      <c r="A88" s="62" t="s">
        <v>352</v>
      </c>
      <c r="B88" s="63">
        <v>51.65</v>
      </c>
      <c r="C88" s="63">
        <v>68.86</v>
      </c>
      <c r="D88" s="63">
        <v>86.08</v>
      </c>
      <c r="E88" s="63">
        <v>37.869999999999997</v>
      </c>
      <c r="F88" s="63">
        <v>39.590000000000003</v>
      </c>
    </row>
    <row r="89" spans="1:6" ht="15" thickBot="1">
      <c r="A89" s="62" t="s">
        <v>354</v>
      </c>
      <c r="B89" s="63">
        <v>51.83</v>
      </c>
      <c r="C89" s="63">
        <v>69.099999999999994</v>
      </c>
      <c r="D89" s="63">
        <v>86.38</v>
      </c>
      <c r="E89" s="63">
        <v>38.01</v>
      </c>
      <c r="F89" s="63">
        <v>39.729999999999997</v>
      </c>
    </row>
    <row r="90" spans="1:6" ht="15" thickBot="1">
      <c r="A90" s="62" t="s">
        <v>356</v>
      </c>
      <c r="B90" s="63">
        <v>57.89</v>
      </c>
      <c r="C90" s="63">
        <v>77.180000000000007</v>
      </c>
      <c r="D90" s="63">
        <v>96.48</v>
      </c>
      <c r="E90" s="63">
        <v>42.45</v>
      </c>
      <c r="F90" s="63">
        <v>44.38</v>
      </c>
    </row>
    <row r="91" spans="1:6" ht="15" thickBot="1">
      <c r="A91" s="62" t="s">
        <v>358</v>
      </c>
      <c r="B91" s="63">
        <v>58.61</v>
      </c>
      <c r="C91" s="63">
        <v>78.14</v>
      </c>
      <c r="D91" s="63">
        <v>97.68</v>
      </c>
      <c r="E91" s="63">
        <v>42.98</v>
      </c>
      <c r="F91" s="63">
        <v>44.93</v>
      </c>
    </row>
    <row r="92" spans="1:6" ht="15" thickBot="1">
      <c r="A92" s="62" t="s">
        <v>360</v>
      </c>
      <c r="B92" s="63">
        <v>59.33</v>
      </c>
      <c r="C92" s="63">
        <v>79.099999999999994</v>
      </c>
      <c r="D92" s="63">
        <v>98.88</v>
      </c>
      <c r="E92" s="63">
        <v>43.51</v>
      </c>
      <c r="F92" s="63">
        <v>45.48</v>
      </c>
    </row>
    <row r="93" spans="1:6" ht="15" thickBot="1">
      <c r="A93" s="62" t="s">
        <v>362</v>
      </c>
      <c r="B93" s="63">
        <v>57.89</v>
      </c>
      <c r="C93" s="63">
        <v>77.180000000000007</v>
      </c>
      <c r="D93" s="63">
        <v>96.48</v>
      </c>
      <c r="E93" s="63">
        <v>42.45</v>
      </c>
      <c r="F93" s="63">
        <v>44.38</v>
      </c>
    </row>
    <row r="94" spans="1:6" ht="15" thickBot="1">
      <c r="A94" s="62" t="s">
        <v>364</v>
      </c>
      <c r="B94" s="63">
        <v>58.61</v>
      </c>
      <c r="C94" s="63">
        <v>78.14</v>
      </c>
      <c r="D94" s="63">
        <v>97.68</v>
      </c>
      <c r="E94" s="63">
        <v>42.98</v>
      </c>
      <c r="F94" s="63">
        <v>44.93</v>
      </c>
    </row>
    <row r="95" spans="1:6" ht="15" thickBot="1">
      <c r="A95" s="62" t="s">
        <v>366</v>
      </c>
      <c r="B95" s="63">
        <v>59.33</v>
      </c>
      <c r="C95" s="63">
        <v>79.099999999999994</v>
      </c>
      <c r="D95" s="63">
        <v>98.88</v>
      </c>
      <c r="E95" s="63">
        <v>43.51</v>
      </c>
      <c r="F95" s="63">
        <v>45.48</v>
      </c>
    </row>
    <row r="96" spans="1:6" ht="15" thickBot="1">
      <c r="A96" s="62" t="s">
        <v>368</v>
      </c>
      <c r="B96" s="63">
        <v>61.53</v>
      </c>
      <c r="C96" s="63">
        <v>82.04</v>
      </c>
      <c r="D96" s="63">
        <v>102.55</v>
      </c>
      <c r="E96" s="63">
        <v>45.12</v>
      </c>
      <c r="F96" s="63">
        <v>47.17</v>
      </c>
    </row>
    <row r="97" spans="1:6" ht="15" thickBot="1">
      <c r="A97" s="62" t="s">
        <v>370</v>
      </c>
      <c r="B97" s="63">
        <v>62.1</v>
      </c>
      <c r="C97" s="63">
        <v>82.8</v>
      </c>
      <c r="D97" s="63">
        <v>103.5</v>
      </c>
      <c r="E97" s="63">
        <v>45.54</v>
      </c>
      <c r="F97" s="63">
        <v>47.61</v>
      </c>
    </row>
    <row r="98" spans="1:6" ht="15" thickBot="1">
      <c r="A98" s="62" t="s">
        <v>372</v>
      </c>
      <c r="B98" s="63">
        <v>62.84</v>
      </c>
      <c r="C98" s="63">
        <v>83.78</v>
      </c>
      <c r="D98" s="63">
        <v>104.73</v>
      </c>
      <c r="E98" s="63">
        <v>46.08</v>
      </c>
      <c r="F98" s="63">
        <v>48.17</v>
      </c>
    </row>
    <row r="99" spans="1:6" ht="15" thickBot="1">
      <c r="A99" s="62" t="s">
        <v>374</v>
      </c>
      <c r="B99" s="63">
        <v>63.59</v>
      </c>
      <c r="C99" s="63">
        <v>84.78</v>
      </c>
      <c r="D99" s="63">
        <v>105.98</v>
      </c>
      <c r="E99" s="63">
        <v>46.63</v>
      </c>
      <c r="F99" s="63">
        <v>48.75</v>
      </c>
    </row>
    <row r="100" spans="1:6" ht="15" thickBot="1">
      <c r="A100" s="62" t="s">
        <v>376</v>
      </c>
      <c r="B100" s="63">
        <v>64.319999999999993</v>
      </c>
      <c r="C100" s="63">
        <v>85.76</v>
      </c>
      <c r="D100" s="63">
        <v>107.2</v>
      </c>
      <c r="E100" s="63">
        <v>47.17</v>
      </c>
      <c r="F100" s="63">
        <v>49.31</v>
      </c>
    </row>
    <row r="101" spans="1:6" ht="15" thickBot="1">
      <c r="A101" s="62" t="s">
        <v>378</v>
      </c>
      <c r="B101" s="63">
        <v>65.040000000000006</v>
      </c>
      <c r="C101" s="63">
        <v>86.72</v>
      </c>
      <c r="D101" s="63">
        <v>108.4</v>
      </c>
      <c r="E101" s="63">
        <v>47.7</v>
      </c>
      <c r="F101" s="63">
        <v>49.86</v>
      </c>
    </row>
    <row r="102" spans="1:6">
      <c r="A102" s="66"/>
    </row>
    <row r="103" spans="1:6" ht="15" thickBot="1">
      <c r="A103" s="67" t="s">
        <v>458</v>
      </c>
    </row>
    <row r="104" spans="1:6" ht="56.45" thickBot="1">
      <c r="A104" s="64" t="s">
        <v>415</v>
      </c>
      <c r="B104" s="65" t="s">
        <v>474</v>
      </c>
      <c r="C104" s="65" t="s">
        <v>475</v>
      </c>
      <c r="D104" s="65" t="s">
        <v>476</v>
      </c>
      <c r="E104" s="65" t="s">
        <v>477</v>
      </c>
      <c r="F104" s="65" t="s">
        <v>478</v>
      </c>
    </row>
    <row r="105" spans="1:6" ht="15" thickBot="1">
      <c r="A105" s="62" t="s">
        <v>300</v>
      </c>
      <c r="B105" s="63">
        <v>31.16</v>
      </c>
      <c r="C105" s="63">
        <v>35.96</v>
      </c>
      <c r="D105" s="63">
        <v>47.94</v>
      </c>
      <c r="E105" s="63">
        <v>35.96</v>
      </c>
      <c r="F105" s="63">
        <v>47.94</v>
      </c>
    </row>
    <row r="106" spans="1:6" ht="15" thickBot="1">
      <c r="A106" s="62" t="s">
        <v>302</v>
      </c>
      <c r="B106" s="63">
        <v>32.29</v>
      </c>
      <c r="C106" s="63">
        <v>37.26</v>
      </c>
      <c r="D106" s="63">
        <v>49.68</v>
      </c>
      <c r="E106" s="63">
        <v>37.26</v>
      </c>
      <c r="F106" s="63">
        <v>49.68</v>
      </c>
    </row>
    <row r="107" spans="1:6" ht="15" thickBot="1">
      <c r="A107" s="62" t="s">
        <v>304</v>
      </c>
      <c r="B107" s="63">
        <v>33.36</v>
      </c>
      <c r="C107" s="63">
        <v>38.49</v>
      </c>
      <c r="D107" s="63">
        <v>51.32</v>
      </c>
      <c r="E107" s="63">
        <v>38.49</v>
      </c>
      <c r="F107" s="63">
        <v>51.32</v>
      </c>
    </row>
    <row r="108" spans="1:6" ht="15" thickBot="1">
      <c r="A108" s="62" t="s">
        <v>306</v>
      </c>
      <c r="B108" s="63">
        <v>35.32</v>
      </c>
      <c r="C108" s="63">
        <v>40.76</v>
      </c>
      <c r="D108" s="63">
        <v>54.34</v>
      </c>
      <c r="E108" s="63">
        <v>40.76</v>
      </c>
      <c r="F108" s="63">
        <v>54.34</v>
      </c>
    </row>
    <row r="109" spans="1:6" ht="15" thickBot="1">
      <c r="A109" s="62" t="s">
        <v>308</v>
      </c>
      <c r="B109" s="63">
        <v>31.16</v>
      </c>
      <c r="C109" s="63">
        <v>35.96</v>
      </c>
      <c r="D109" s="63">
        <v>47.94</v>
      </c>
      <c r="E109" s="63">
        <v>35.96</v>
      </c>
      <c r="F109" s="63">
        <v>47.94</v>
      </c>
    </row>
    <row r="110" spans="1:6" ht="15" thickBot="1">
      <c r="A110" s="62" t="s">
        <v>310</v>
      </c>
      <c r="B110" s="63">
        <v>32.29</v>
      </c>
      <c r="C110" s="63">
        <v>37.26</v>
      </c>
      <c r="D110" s="63">
        <v>49.68</v>
      </c>
      <c r="E110" s="63">
        <v>37.26</v>
      </c>
      <c r="F110" s="63">
        <v>49.68</v>
      </c>
    </row>
    <row r="111" spans="1:6" ht="15" thickBot="1">
      <c r="A111" s="62" t="s">
        <v>312</v>
      </c>
      <c r="B111" s="63">
        <v>33.36</v>
      </c>
      <c r="C111" s="63">
        <v>38.49</v>
      </c>
      <c r="D111" s="63">
        <v>51.32</v>
      </c>
      <c r="E111" s="63">
        <v>38.49</v>
      </c>
      <c r="F111" s="63">
        <v>51.32</v>
      </c>
    </row>
    <row r="112" spans="1:6" ht="15" thickBot="1">
      <c r="A112" s="62" t="s">
        <v>314</v>
      </c>
      <c r="B112" s="63">
        <v>34.78</v>
      </c>
      <c r="C112" s="63">
        <v>40.130000000000003</v>
      </c>
      <c r="D112" s="63">
        <v>53.5</v>
      </c>
      <c r="E112" s="63">
        <v>40.130000000000003</v>
      </c>
      <c r="F112" s="63">
        <v>53.5</v>
      </c>
    </row>
    <row r="113" spans="1:6" ht="15" thickBot="1">
      <c r="A113" s="62" t="s">
        <v>316</v>
      </c>
      <c r="B113" s="63">
        <v>35.32</v>
      </c>
      <c r="C113" s="63">
        <v>40.76</v>
      </c>
      <c r="D113" s="63">
        <v>54.34</v>
      </c>
      <c r="E113" s="63">
        <v>40.76</v>
      </c>
      <c r="F113" s="63">
        <v>54.34</v>
      </c>
    </row>
    <row r="114" spans="1:6" ht="15" thickBot="1">
      <c r="A114" s="62" t="s">
        <v>318</v>
      </c>
      <c r="B114" s="63">
        <v>35.32</v>
      </c>
      <c r="C114" s="63">
        <v>40.76</v>
      </c>
      <c r="D114" s="63">
        <v>54.34</v>
      </c>
      <c r="E114" s="63">
        <v>40.76</v>
      </c>
      <c r="F114" s="63">
        <v>54.34</v>
      </c>
    </row>
    <row r="115" spans="1:6" ht="15" thickBot="1">
      <c r="A115" s="62" t="s">
        <v>320</v>
      </c>
      <c r="B115" s="63">
        <v>36.53</v>
      </c>
      <c r="C115" s="63">
        <v>42.15</v>
      </c>
      <c r="D115" s="63">
        <v>56.2</v>
      </c>
      <c r="E115" s="63">
        <v>42.15</v>
      </c>
      <c r="F115" s="63">
        <v>56.2</v>
      </c>
    </row>
    <row r="116" spans="1:6" ht="15" thickBot="1">
      <c r="A116" s="62" t="s">
        <v>322</v>
      </c>
      <c r="B116" s="63">
        <v>37.69</v>
      </c>
      <c r="C116" s="63">
        <v>43.49</v>
      </c>
      <c r="D116" s="63">
        <v>57.98</v>
      </c>
      <c r="E116" s="63">
        <v>43.49</v>
      </c>
      <c r="F116" s="63">
        <v>57.98</v>
      </c>
    </row>
    <row r="117" spans="1:6" ht="15" thickBot="1">
      <c r="A117" s="62" t="s">
        <v>324</v>
      </c>
      <c r="B117" s="63">
        <v>39.770000000000003</v>
      </c>
      <c r="C117" s="63">
        <v>45.89</v>
      </c>
      <c r="D117" s="63">
        <v>61.18</v>
      </c>
      <c r="E117" s="63">
        <v>45.89</v>
      </c>
      <c r="F117" s="63">
        <v>61.18</v>
      </c>
    </row>
    <row r="118" spans="1:6" ht="15" thickBot="1">
      <c r="A118" s="62" t="s">
        <v>326</v>
      </c>
      <c r="B118" s="63">
        <v>37.69</v>
      </c>
      <c r="C118" s="63">
        <v>43.49</v>
      </c>
      <c r="D118" s="63">
        <v>57.98</v>
      </c>
      <c r="E118" s="63">
        <v>43.49</v>
      </c>
      <c r="F118" s="63">
        <v>57.98</v>
      </c>
    </row>
    <row r="119" spans="1:6" ht="15" thickBot="1">
      <c r="A119" s="62" t="s">
        <v>328</v>
      </c>
      <c r="B119" s="63">
        <v>38.21</v>
      </c>
      <c r="C119" s="63">
        <v>44.09</v>
      </c>
      <c r="D119" s="63">
        <v>58.78</v>
      </c>
      <c r="E119" s="63">
        <v>44.09</v>
      </c>
      <c r="F119" s="63">
        <v>58.78</v>
      </c>
    </row>
    <row r="120" spans="1:6" ht="15" thickBot="1">
      <c r="A120" s="62" t="s">
        <v>330</v>
      </c>
      <c r="B120" s="63">
        <v>38.729999999999997</v>
      </c>
      <c r="C120" s="63">
        <v>44.69</v>
      </c>
      <c r="D120" s="63">
        <v>59.58</v>
      </c>
      <c r="E120" s="63">
        <v>44.69</v>
      </c>
      <c r="F120" s="63">
        <v>59.58</v>
      </c>
    </row>
    <row r="121" spans="1:6" ht="15" thickBot="1">
      <c r="A121" s="62" t="s">
        <v>332</v>
      </c>
      <c r="B121" s="63">
        <v>39.270000000000003</v>
      </c>
      <c r="C121" s="63">
        <v>45.32</v>
      </c>
      <c r="D121" s="63">
        <v>60.42</v>
      </c>
      <c r="E121" s="63">
        <v>45.32</v>
      </c>
      <c r="F121" s="63">
        <v>60.42</v>
      </c>
    </row>
    <row r="122" spans="1:6" ht="15" thickBot="1">
      <c r="A122" s="62" t="s">
        <v>334</v>
      </c>
      <c r="B122" s="63">
        <v>39.79</v>
      </c>
      <c r="C122" s="63">
        <v>45.92</v>
      </c>
      <c r="D122" s="63">
        <v>61.22</v>
      </c>
      <c r="E122" s="63">
        <v>45.92</v>
      </c>
      <c r="F122" s="63">
        <v>61.22</v>
      </c>
    </row>
    <row r="123" spans="1:6" ht="15" thickBot="1">
      <c r="A123" s="62" t="s">
        <v>336</v>
      </c>
      <c r="B123" s="63">
        <v>41.6</v>
      </c>
      <c r="C123" s="63">
        <v>48</v>
      </c>
      <c r="D123" s="63">
        <v>64</v>
      </c>
      <c r="E123" s="63">
        <v>48</v>
      </c>
      <c r="F123" s="63">
        <v>64</v>
      </c>
    </row>
    <row r="124" spans="1:6" ht="15" thickBot="1">
      <c r="A124" s="62" t="s">
        <v>338</v>
      </c>
      <c r="B124" s="63">
        <v>42.24</v>
      </c>
      <c r="C124" s="63">
        <v>48.74</v>
      </c>
      <c r="D124" s="63">
        <v>64.98</v>
      </c>
      <c r="E124" s="63">
        <v>48.74</v>
      </c>
      <c r="F124" s="63">
        <v>64.98</v>
      </c>
    </row>
    <row r="125" spans="1:6" ht="15" thickBot="1">
      <c r="A125" s="62" t="s">
        <v>340</v>
      </c>
      <c r="B125" s="63">
        <v>42.86</v>
      </c>
      <c r="C125" s="63">
        <v>49.46</v>
      </c>
      <c r="D125" s="63">
        <v>65.94</v>
      </c>
      <c r="E125" s="63">
        <v>49.46</v>
      </c>
      <c r="F125" s="63">
        <v>65.94</v>
      </c>
    </row>
    <row r="126" spans="1:6" ht="15" thickBot="1">
      <c r="A126" s="62" t="s">
        <v>342</v>
      </c>
      <c r="B126" s="63">
        <v>43.5</v>
      </c>
      <c r="C126" s="63">
        <v>50.19</v>
      </c>
      <c r="D126" s="63">
        <v>66.92</v>
      </c>
      <c r="E126" s="63">
        <v>50.19</v>
      </c>
      <c r="F126" s="63">
        <v>66.92</v>
      </c>
    </row>
    <row r="127" spans="1:6" ht="15" thickBot="1">
      <c r="A127" s="62" t="s">
        <v>344</v>
      </c>
      <c r="B127" s="63">
        <v>44.14</v>
      </c>
      <c r="C127" s="63">
        <v>50.93</v>
      </c>
      <c r="D127" s="63">
        <v>67.900000000000006</v>
      </c>
      <c r="E127" s="63">
        <v>50.93</v>
      </c>
      <c r="F127" s="63">
        <v>67.900000000000006</v>
      </c>
    </row>
    <row r="128" spans="1:6" ht="15" thickBot="1">
      <c r="A128" s="62" t="s">
        <v>346</v>
      </c>
      <c r="B128" s="63">
        <v>44.76</v>
      </c>
      <c r="C128" s="63">
        <v>51.65</v>
      </c>
      <c r="D128" s="63">
        <v>68.86</v>
      </c>
      <c r="E128" s="63">
        <v>51.65</v>
      </c>
      <c r="F128" s="63">
        <v>68.86</v>
      </c>
    </row>
    <row r="129" spans="1:6" ht="15" thickBot="1">
      <c r="A129" s="62" t="s">
        <v>348</v>
      </c>
      <c r="B129" s="63">
        <v>43.5</v>
      </c>
      <c r="C129" s="63">
        <v>50.19</v>
      </c>
      <c r="D129" s="63">
        <v>66.92</v>
      </c>
      <c r="E129" s="63">
        <v>50.19</v>
      </c>
      <c r="F129" s="63">
        <v>66.92</v>
      </c>
    </row>
    <row r="130" spans="1:6" ht="15" thickBot="1">
      <c r="A130" s="62" t="s">
        <v>350</v>
      </c>
      <c r="B130" s="63">
        <v>44.14</v>
      </c>
      <c r="C130" s="63">
        <v>50.93</v>
      </c>
      <c r="D130" s="63">
        <v>67.900000000000006</v>
      </c>
      <c r="E130" s="63">
        <v>50.93</v>
      </c>
      <c r="F130" s="63">
        <v>67.900000000000006</v>
      </c>
    </row>
    <row r="131" spans="1:6" ht="15" thickBot="1">
      <c r="A131" s="62" t="s">
        <v>352</v>
      </c>
      <c r="B131" s="63">
        <v>44.76</v>
      </c>
      <c r="C131" s="63">
        <v>51.65</v>
      </c>
      <c r="D131" s="63">
        <v>68.86</v>
      </c>
      <c r="E131" s="63">
        <v>51.65</v>
      </c>
      <c r="F131" s="63">
        <v>68.86</v>
      </c>
    </row>
    <row r="132" spans="1:6" ht="15" thickBot="1">
      <c r="A132" s="62" t="s">
        <v>354</v>
      </c>
      <c r="B132" s="63">
        <v>44.92</v>
      </c>
      <c r="C132" s="63">
        <v>51.83</v>
      </c>
      <c r="D132" s="63">
        <v>69.099999999999994</v>
      </c>
      <c r="E132" s="63">
        <v>51.83</v>
      </c>
      <c r="F132" s="63">
        <v>69.099999999999994</v>
      </c>
    </row>
    <row r="133" spans="1:6" ht="15" thickBot="1">
      <c r="A133" s="62" t="s">
        <v>356</v>
      </c>
      <c r="B133" s="63">
        <v>50.17</v>
      </c>
      <c r="C133" s="63">
        <v>57.89</v>
      </c>
      <c r="D133" s="63">
        <v>77.180000000000007</v>
      </c>
      <c r="E133" s="63">
        <v>57.89</v>
      </c>
      <c r="F133" s="63">
        <v>77.180000000000007</v>
      </c>
    </row>
    <row r="134" spans="1:6" ht="15" thickBot="1">
      <c r="A134" s="62" t="s">
        <v>358</v>
      </c>
      <c r="B134" s="63">
        <v>50.79</v>
      </c>
      <c r="C134" s="63">
        <v>58.61</v>
      </c>
      <c r="D134" s="63">
        <v>78.14</v>
      </c>
      <c r="E134" s="63">
        <v>58.61</v>
      </c>
      <c r="F134" s="63">
        <v>78.14</v>
      </c>
    </row>
    <row r="135" spans="1:6" ht="15" thickBot="1">
      <c r="A135" s="62" t="s">
        <v>360</v>
      </c>
      <c r="B135" s="63">
        <v>51.42</v>
      </c>
      <c r="C135" s="63">
        <v>59.33</v>
      </c>
      <c r="D135" s="63">
        <v>79.099999999999994</v>
      </c>
      <c r="E135" s="63">
        <v>59.33</v>
      </c>
      <c r="F135" s="63">
        <v>79.099999999999994</v>
      </c>
    </row>
    <row r="136" spans="1:6" ht="15" thickBot="1">
      <c r="A136" s="62" t="s">
        <v>362</v>
      </c>
      <c r="B136" s="63">
        <v>50.17</v>
      </c>
      <c r="C136" s="63">
        <v>57.89</v>
      </c>
      <c r="D136" s="63">
        <v>77.180000000000007</v>
      </c>
      <c r="E136" s="63">
        <v>57.89</v>
      </c>
      <c r="F136" s="63">
        <v>77.180000000000007</v>
      </c>
    </row>
    <row r="137" spans="1:6" ht="15" thickBot="1">
      <c r="A137" s="62" t="s">
        <v>364</v>
      </c>
      <c r="B137" s="63">
        <v>50.79</v>
      </c>
      <c r="C137" s="63">
        <v>58.61</v>
      </c>
      <c r="D137" s="63">
        <v>78.14</v>
      </c>
      <c r="E137" s="63">
        <v>58.61</v>
      </c>
      <c r="F137" s="63">
        <v>78.14</v>
      </c>
    </row>
    <row r="138" spans="1:6" ht="15" thickBot="1">
      <c r="A138" s="62" t="s">
        <v>366</v>
      </c>
      <c r="B138" s="63">
        <v>51.42</v>
      </c>
      <c r="C138" s="63">
        <v>59.33</v>
      </c>
      <c r="D138" s="63">
        <v>79.099999999999994</v>
      </c>
      <c r="E138" s="63">
        <v>59.33</v>
      </c>
      <c r="F138" s="63">
        <v>79.099999999999994</v>
      </c>
    </row>
    <row r="139" spans="1:6" ht="15" thickBot="1">
      <c r="A139" s="62" t="s">
        <v>368</v>
      </c>
      <c r="B139" s="63">
        <v>53.33</v>
      </c>
      <c r="C139" s="63">
        <v>61.53</v>
      </c>
      <c r="D139" s="63">
        <v>82.04</v>
      </c>
      <c r="E139" s="63">
        <v>61.53</v>
      </c>
      <c r="F139" s="63">
        <v>82.04</v>
      </c>
    </row>
    <row r="140" spans="1:6" ht="15" thickBot="1">
      <c r="A140" s="62" t="s">
        <v>370</v>
      </c>
      <c r="B140" s="63">
        <v>53.82</v>
      </c>
      <c r="C140" s="63">
        <v>62.1</v>
      </c>
      <c r="D140" s="63">
        <v>82.8</v>
      </c>
      <c r="E140" s="63">
        <v>62.1</v>
      </c>
      <c r="F140" s="63">
        <v>82.8</v>
      </c>
    </row>
    <row r="141" spans="1:6" ht="15" thickBot="1">
      <c r="A141" s="62" t="s">
        <v>372</v>
      </c>
      <c r="B141" s="63">
        <v>54.46</v>
      </c>
      <c r="C141" s="63">
        <v>62.84</v>
      </c>
      <c r="D141" s="63">
        <v>83.78</v>
      </c>
      <c r="E141" s="63">
        <v>62.84</v>
      </c>
      <c r="F141" s="63">
        <v>83.78</v>
      </c>
    </row>
    <row r="142" spans="1:6" ht="15" thickBot="1">
      <c r="A142" s="62" t="s">
        <v>374</v>
      </c>
      <c r="B142" s="63">
        <v>55.11</v>
      </c>
      <c r="C142" s="63">
        <v>63.59</v>
      </c>
      <c r="D142" s="63">
        <v>84.78</v>
      </c>
      <c r="E142" s="63">
        <v>63.59</v>
      </c>
      <c r="F142" s="63">
        <v>84.78</v>
      </c>
    </row>
    <row r="143" spans="1:6" ht="15" thickBot="1">
      <c r="A143" s="62" t="s">
        <v>376</v>
      </c>
      <c r="B143" s="63">
        <v>55.74</v>
      </c>
      <c r="C143" s="63">
        <v>64.319999999999993</v>
      </c>
      <c r="D143" s="63">
        <v>85.76</v>
      </c>
      <c r="E143" s="63">
        <v>64.319999999999993</v>
      </c>
      <c r="F143" s="63">
        <v>85.76</v>
      </c>
    </row>
    <row r="144" spans="1:6" ht="15" thickBot="1">
      <c r="A144" s="62" t="s">
        <v>378</v>
      </c>
      <c r="B144" s="63">
        <v>56.37</v>
      </c>
      <c r="C144" s="63">
        <v>65.040000000000006</v>
      </c>
      <c r="D144" s="63">
        <v>86.72</v>
      </c>
      <c r="E144" s="63">
        <v>65.040000000000006</v>
      </c>
      <c r="F144" s="63">
        <v>86.72</v>
      </c>
    </row>
    <row r="145" spans="1:6">
      <c r="A145" s="66"/>
    </row>
    <row r="146" spans="1:6" ht="18">
      <c r="A146" s="72" t="s">
        <v>479</v>
      </c>
    </row>
    <row r="147" spans="1:6" ht="15" thickBot="1">
      <c r="A147" s="67" t="s">
        <v>471</v>
      </c>
    </row>
    <row r="148" spans="1:6" ht="56.45" thickBot="1">
      <c r="A148" s="73" t="s">
        <v>415</v>
      </c>
      <c r="B148" s="65" t="s">
        <v>417</v>
      </c>
      <c r="C148" s="65" t="s">
        <v>480</v>
      </c>
      <c r="D148" s="65" t="s">
        <v>481</v>
      </c>
      <c r="E148" s="65" t="s">
        <v>473</v>
      </c>
      <c r="F148" s="65" t="s">
        <v>419</v>
      </c>
    </row>
    <row r="149" spans="1:6" ht="15" thickBot="1">
      <c r="A149" s="74" t="s">
        <v>300</v>
      </c>
      <c r="B149" s="75">
        <v>28.89</v>
      </c>
      <c r="C149" s="75">
        <v>40.44</v>
      </c>
      <c r="D149" s="75">
        <v>52</v>
      </c>
      <c r="E149" s="75">
        <v>40.44</v>
      </c>
      <c r="F149" s="75">
        <v>52</v>
      </c>
    </row>
    <row r="150" spans="1:6" ht="15" thickBot="1">
      <c r="A150" s="74" t="s">
        <v>302</v>
      </c>
      <c r="B150" s="75">
        <v>29.93</v>
      </c>
      <c r="C150" s="75">
        <v>41.9</v>
      </c>
      <c r="D150" s="75">
        <v>53.87</v>
      </c>
      <c r="E150" s="75">
        <v>41.9</v>
      </c>
      <c r="F150" s="75">
        <v>53.87</v>
      </c>
    </row>
    <row r="151" spans="1:6" ht="15" thickBot="1">
      <c r="A151" s="74" t="s">
        <v>304</v>
      </c>
      <c r="B151" s="75">
        <v>30.91</v>
      </c>
      <c r="C151" s="75">
        <v>43.28</v>
      </c>
      <c r="D151" s="75">
        <v>55.64</v>
      </c>
      <c r="E151" s="75">
        <v>43.28</v>
      </c>
      <c r="F151" s="75">
        <v>55.64</v>
      </c>
    </row>
    <row r="152" spans="1:6" ht="15" thickBot="1">
      <c r="A152" s="74" t="s">
        <v>306</v>
      </c>
      <c r="B152" s="75">
        <v>32.729999999999997</v>
      </c>
      <c r="C152" s="75">
        <v>45.82</v>
      </c>
      <c r="D152" s="75">
        <v>58.91</v>
      </c>
      <c r="E152" s="75">
        <v>45.82</v>
      </c>
      <c r="F152" s="75">
        <v>58.91</v>
      </c>
    </row>
    <row r="153" spans="1:6" ht="15" thickBot="1">
      <c r="A153" s="74" t="s">
        <v>308</v>
      </c>
      <c r="B153" s="75">
        <v>28.89</v>
      </c>
      <c r="C153" s="75">
        <v>40.44</v>
      </c>
      <c r="D153" s="75">
        <v>52</v>
      </c>
      <c r="E153" s="75">
        <v>40.44</v>
      </c>
      <c r="F153" s="75">
        <v>52</v>
      </c>
    </row>
    <row r="154" spans="1:6" ht="15" thickBot="1">
      <c r="A154" s="74" t="s">
        <v>310</v>
      </c>
      <c r="B154" s="75">
        <v>29.93</v>
      </c>
      <c r="C154" s="75">
        <v>41.9</v>
      </c>
      <c r="D154" s="75">
        <v>53.87</v>
      </c>
      <c r="E154" s="75">
        <v>41.9</v>
      </c>
      <c r="F154" s="75">
        <v>53.87</v>
      </c>
    </row>
    <row r="155" spans="1:6" ht="15" thickBot="1">
      <c r="A155" s="74" t="s">
        <v>312</v>
      </c>
      <c r="B155" s="75">
        <v>30.91</v>
      </c>
      <c r="C155" s="75">
        <v>43.28</v>
      </c>
      <c r="D155" s="75">
        <v>55.64</v>
      </c>
      <c r="E155" s="75">
        <v>43.28</v>
      </c>
      <c r="F155" s="75">
        <v>55.64</v>
      </c>
    </row>
    <row r="156" spans="1:6" ht="15" thickBot="1">
      <c r="A156" s="74" t="s">
        <v>314</v>
      </c>
      <c r="B156" s="75">
        <v>32.229999999999997</v>
      </c>
      <c r="C156" s="75">
        <v>45.12</v>
      </c>
      <c r="D156" s="75">
        <v>58.01</v>
      </c>
      <c r="E156" s="75">
        <v>45.12</v>
      </c>
      <c r="F156" s="75">
        <v>58.01</v>
      </c>
    </row>
    <row r="157" spans="1:6" ht="15" thickBot="1">
      <c r="A157" s="74" t="s">
        <v>316</v>
      </c>
      <c r="B157" s="75">
        <v>32.729999999999997</v>
      </c>
      <c r="C157" s="75">
        <v>45.82</v>
      </c>
      <c r="D157" s="75">
        <v>58.91</v>
      </c>
      <c r="E157" s="75">
        <v>45.82</v>
      </c>
      <c r="F157" s="75">
        <v>58.91</v>
      </c>
    </row>
    <row r="158" spans="1:6" ht="15" thickBot="1">
      <c r="A158" s="74" t="s">
        <v>318</v>
      </c>
      <c r="B158" s="75">
        <v>32.729999999999997</v>
      </c>
      <c r="C158" s="75">
        <v>45.82</v>
      </c>
      <c r="D158" s="75">
        <v>58.91</v>
      </c>
      <c r="E158" s="75">
        <v>45.82</v>
      </c>
      <c r="F158" s="75">
        <v>58.91</v>
      </c>
    </row>
    <row r="159" spans="1:6" ht="15" thickBot="1">
      <c r="A159" s="74" t="s">
        <v>320</v>
      </c>
      <c r="B159" s="75">
        <v>33.86</v>
      </c>
      <c r="C159" s="75">
        <v>47.41</v>
      </c>
      <c r="D159" s="75">
        <v>60.95</v>
      </c>
      <c r="E159" s="75">
        <v>47.41</v>
      </c>
      <c r="F159" s="75">
        <v>60.95</v>
      </c>
    </row>
    <row r="160" spans="1:6" ht="15" thickBot="1">
      <c r="A160" s="74" t="s">
        <v>322</v>
      </c>
      <c r="B160" s="75">
        <v>34.93</v>
      </c>
      <c r="C160" s="75">
        <v>48.9</v>
      </c>
      <c r="D160" s="75">
        <v>62.87</v>
      </c>
      <c r="E160" s="75">
        <v>48.9</v>
      </c>
      <c r="F160" s="75">
        <v>62.87</v>
      </c>
    </row>
    <row r="161" spans="1:6" ht="15" thickBot="1">
      <c r="A161" s="74" t="s">
        <v>324</v>
      </c>
      <c r="B161" s="75">
        <v>36.85</v>
      </c>
      <c r="C161" s="75">
        <v>51.59</v>
      </c>
      <c r="D161" s="75">
        <v>66.33</v>
      </c>
      <c r="E161" s="75">
        <v>51.59</v>
      </c>
      <c r="F161" s="75">
        <v>66.33</v>
      </c>
    </row>
    <row r="162" spans="1:6" ht="15" thickBot="1">
      <c r="A162" s="74" t="s">
        <v>326</v>
      </c>
      <c r="B162" s="75">
        <v>34.93</v>
      </c>
      <c r="C162" s="75">
        <v>48.9</v>
      </c>
      <c r="D162" s="75">
        <v>62.87</v>
      </c>
      <c r="E162" s="75">
        <v>48.9</v>
      </c>
      <c r="F162" s="75">
        <v>62.87</v>
      </c>
    </row>
    <row r="163" spans="1:6" ht="15" thickBot="1">
      <c r="A163" s="74" t="s">
        <v>328</v>
      </c>
      <c r="B163" s="75">
        <v>35.409999999999997</v>
      </c>
      <c r="C163" s="75">
        <v>49.58</v>
      </c>
      <c r="D163" s="75">
        <v>63.74</v>
      </c>
      <c r="E163" s="75">
        <v>49.58</v>
      </c>
      <c r="F163" s="75">
        <v>63.74</v>
      </c>
    </row>
    <row r="164" spans="1:6" ht="15" thickBot="1">
      <c r="A164" s="74" t="s">
        <v>330</v>
      </c>
      <c r="B164" s="75">
        <v>35.9</v>
      </c>
      <c r="C164" s="75">
        <v>50.26</v>
      </c>
      <c r="D164" s="75">
        <v>64.62</v>
      </c>
      <c r="E164" s="75">
        <v>50.26</v>
      </c>
      <c r="F164" s="75">
        <v>64.62</v>
      </c>
    </row>
    <row r="165" spans="1:6" ht="15" thickBot="1">
      <c r="A165" s="74" t="s">
        <v>332</v>
      </c>
      <c r="B165" s="75">
        <v>36.4</v>
      </c>
      <c r="C165" s="75">
        <v>50.96</v>
      </c>
      <c r="D165" s="75">
        <v>65.52</v>
      </c>
      <c r="E165" s="75">
        <v>50.96</v>
      </c>
      <c r="F165" s="75">
        <v>65.52</v>
      </c>
    </row>
    <row r="166" spans="1:6" ht="15" thickBot="1">
      <c r="A166" s="74" t="s">
        <v>334</v>
      </c>
      <c r="B166" s="75">
        <v>36.89</v>
      </c>
      <c r="C166" s="75">
        <v>51.64</v>
      </c>
      <c r="D166" s="75">
        <v>66.400000000000006</v>
      </c>
      <c r="E166" s="75">
        <v>51.64</v>
      </c>
      <c r="F166" s="75">
        <v>66.400000000000006</v>
      </c>
    </row>
    <row r="167" spans="1:6" ht="15" thickBot="1">
      <c r="A167" s="74" t="s">
        <v>336</v>
      </c>
      <c r="B167" s="75">
        <v>38.549999999999997</v>
      </c>
      <c r="C167" s="75">
        <v>53.97</v>
      </c>
      <c r="D167" s="75">
        <v>69.39</v>
      </c>
      <c r="E167" s="75">
        <v>53.97</v>
      </c>
      <c r="F167" s="75">
        <v>69.39</v>
      </c>
    </row>
    <row r="168" spans="1:6" ht="15" thickBot="1">
      <c r="A168" s="74" t="s">
        <v>338</v>
      </c>
      <c r="B168" s="75">
        <v>39.15</v>
      </c>
      <c r="C168" s="75">
        <v>54.81</v>
      </c>
      <c r="D168" s="75">
        <v>70.47</v>
      </c>
      <c r="E168" s="75">
        <v>54.81</v>
      </c>
      <c r="F168" s="75">
        <v>70.47</v>
      </c>
    </row>
    <row r="169" spans="1:6" ht="15" thickBot="1">
      <c r="A169" s="74" t="s">
        <v>340</v>
      </c>
      <c r="B169" s="75">
        <v>39.729999999999997</v>
      </c>
      <c r="C169" s="75">
        <v>55.62</v>
      </c>
      <c r="D169" s="75">
        <v>71.510000000000005</v>
      </c>
      <c r="E169" s="75">
        <v>55.62</v>
      </c>
      <c r="F169" s="75">
        <v>71.510000000000005</v>
      </c>
    </row>
    <row r="170" spans="1:6" ht="15" thickBot="1">
      <c r="A170" s="74" t="s">
        <v>342</v>
      </c>
      <c r="B170" s="75">
        <v>40.31</v>
      </c>
      <c r="C170" s="75">
        <v>56.44</v>
      </c>
      <c r="D170" s="75">
        <v>72.56</v>
      </c>
      <c r="E170" s="75">
        <v>56.44</v>
      </c>
      <c r="F170" s="75">
        <v>72.56</v>
      </c>
    </row>
    <row r="171" spans="1:6" ht="15" thickBot="1">
      <c r="A171" s="74" t="s">
        <v>344</v>
      </c>
      <c r="B171" s="75">
        <v>40.9</v>
      </c>
      <c r="C171" s="75">
        <v>57.26</v>
      </c>
      <c r="D171" s="75">
        <v>73.62</v>
      </c>
      <c r="E171" s="75">
        <v>57.26</v>
      </c>
      <c r="F171" s="75">
        <v>73.62</v>
      </c>
    </row>
    <row r="172" spans="1:6" ht="15" thickBot="1">
      <c r="A172" s="74" t="s">
        <v>346</v>
      </c>
      <c r="B172" s="75">
        <v>41.48</v>
      </c>
      <c r="C172" s="75">
        <v>58.07</v>
      </c>
      <c r="D172" s="75">
        <v>74.66</v>
      </c>
      <c r="E172" s="75">
        <v>58.07</v>
      </c>
      <c r="F172" s="75">
        <v>74.66</v>
      </c>
    </row>
    <row r="173" spans="1:6" ht="15" thickBot="1">
      <c r="A173" s="74" t="s">
        <v>348</v>
      </c>
      <c r="B173" s="75">
        <v>40.31</v>
      </c>
      <c r="C173" s="75">
        <v>56.44</v>
      </c>
      <c r="D173" s="75">
        <v>72.56</v>
      </c>
      <c r="E173" s="75">
        <v>56.44</v>
      </c>
      <c r="F173" s="75">
        <v>72.56</v>
      </c>
    </row>
    <row r="174" spans="1:6" ht="15" thickBot="1">
      <c r="A174" s="74" t="s">
        <v>350</v>
      </c>
      <c r="B174" s="75">
        <v>40.9</v>
      </c>
      <c r="C174" s="75">
        <v>57.26</v>
      </c>
      <c r="D174" s="75">
        <v>73.62</v>
      </c>
      <c r="E174" s="75">
        <v>57.26</v>
      </c>
      <c r="F174" s="75">
        <v>73.62</v>
      </c>
    </row>
    <row r="175" spans="1:6" ht="15" thickBot="1">
      <c r="A175" s="74" t="s">
        <v>352</v>
      </c>
      <c r="B175" s="75">
        <v>41.48</v>
      </c>
      <c r="C175" s="75">
        <v>58.07</v>
      </c>
      <c r="D175" s="75">
        <v>74.66</v>
      </c>
      <c r="E175" s="75">
        <v>58.07</v>
      </c>
      <c r="F175" s="75">
        <v>74.66</v>
      </c>
    </row>
    <row r="176" spans="1:6" ht="15" thickBot="1">
      <c r="A176" s="74" t="s">
        <v>354</v>
      </c>
      <c r="B176" s="75">
        <v>41.63</v>
      </c>
      <c r="C176" s="75">
        <v>58.28</v>
      </c>
      <c r="D176" s="75">
        <v>74.930000000000007</v>
      </c>
      <c r="E176" s="75">
        <v>58.28</v>
      </c>
      <c r="F176" s="75">
        <v>74.930000000000007</v>
      </c>
    </row>
    <row r="177" spans="1:6" ht="15" thickBot="1">
      <c r="A177" s="74" t="s">
        <v>356</v>
      </c>
      <c r="B177" s="75">
        <v>46.49</v>
      </c>
      <c r="C177" s="75">
        <v>65.08</v>
      </c>
      <c r="D177" s="75">
        <v>83.68</v>
      </c>
      <c r="E177" s="75">
        <v>65.08</v>
      </c>
      <c r="F177" s="75">
        <v>83.68</v>
      </c>
    </row>
    <row r="178" spans="1:6" ht="15" thickBot="1">
      <c r="A178" s="74" t="s">
        <v>358</v>
      </c>
      <c r="B178" s="75">
        <v>47.08</v>
      </c>
      <c r="C178" s="75">
        <v>65.91</v>
      </c>
      <c r="D178" s="75">
        <v>84.74</v>
      </c>
      <c r="E178" s="75">
        <v>65.91</v>
      </c>
      <c r="F178" s="75">
        <v>84.74</v>
      </c>
    </row>
    <row r="179" spans="1:6" ht="15" thickBot="1">
      <c r="A179" s="74" t="s">
        <v>360</v>
      </c>
      <c r="B179" s="75">
        <v>47.65</v>
      </c>
      <c r="C179" s="75">
        <v>66.709999999999994</v>
      </c>
      <c r="D179" s="75">
        <v>85.77</v>
      </c>
      <c r="E179" s="75">
        <v>66.709999999999994</v>
      </c>
      <c r="F179" s="75">
        <v>85.77</v>
      </c>
    </row>
    <row r="180" spans="1:6" ht="15" thickBot="1">
      <c r="A180" s="74" t="s">
        <v>362</v>
      </c>
      <c r="B180" s="75">
        <v>46.49</v>
      </c>
      <c r="C180" s="75">
        <v>65.08</v>
      </c>
      <c r="D180" s="75">
        <v>83.68</v>
      </c>
      <c r="E180" s="75">
        <v>65.08</v>
      </c>
      <c r="F180" s="75">
        <v>83.68</v>
      </c>
    </row>
    <row r="181" spans="1:6" ht="15" thickBot="1">
      <c r="A181" s="74" t="s">
        <v>364</v>
      </c>
      <c r="B181" s="75">
        <v>47.08</v>
      </c>
      <c r="C181" s="75">
        <v>65.91</v>
      </c>
      <c r="D181" s="75">
        <v>84.74</v>
      </c>
      <c r="E181" s="75">
        <v>65.91</v>
      </c>
      <c r="F181" s="75">
        <v>84.74</v>
      </c>
    </row>
    <row r="182" spans="1:6" ht="15" thickBot="1">
      <c r="A182" s="74" t="s">
        <v>366</v>
      </c>
      <c r="B182" s="75">
        <v>47.65</v>
      </c>
      <c r="C182" s="75">
        <v>66.709999999999994</v>
      </c>
      <c r="D182" s="75">
        <v>85.77</v>
      </c>
      <c r="E182" s="75">
        <v>66.709999999999994</v>
      </c>
      <c r="F182" s="75">
        <v>85.77</v>
      </c>
    </row>
    <row r="183" spans="1:6" ht="15" thickBot="1">
      <c r="A183" s="74" t="s">
        <v>368</v>
      </c>
      <c r="B183" s="75">
        <v>49.43</v>
      </c>
      <c r="C183" s="75">
        <v>69.2</v>
      </c>
      <c r="D183" s="75">
        <v>88.97</v>
      </c>
      <c r="E183" s="75">
        <v>69.2</v>
      </c>
      <c r="F183" s="75">
        <v>88.97</v>
      </c>
    </row>
    <row r="184" spans="1:6" ht="15" thickBot="1">
      <c r="A184" s="74" t="s">
        <v>370</v>
      </c>
      <c r="B184" s="75">
        <v>49.88</v>
      </c>
      <c r="C184" s="75">
        <v>69.83</v>
      </c>
      <c r="D184" s="75">
        <v>89.78</v>
      </c>
      <c r="E184" s="75">
        <v>69.83</v>
      </c>
      <c r="F184" s="75">
        <v>89.78</v>
      </c>
    </row>
    <row r="185" spans="1:6" ht="15" thickBot="1">
      <c r="A185" s="74" t="s">
        <v>372</v>
      </c>
      <c r="B185" s="75">
        <v>50.48</v>
      </c>
      <c r="C185" s="75">
        <v>70.67</v>
      </c>
      <c r="D185" s="75">
        <v>90.86</v>
      </c>
      <c r="E185" s="75">
        <v>70.67</v>
      </c>
      <c r="F185" s="75">
        <v>90.86</v>
      </c>
    </row>
    <row r="186" spans="1:6" ht="15" thickBot="1">
      <c r="A186" s="74" t="s">
        <v>374</v>
      </c>
      <c r="B186" s="75">
        <v>51.08</v>
      </c>
      <c r="C186" s="75">
        <v>71.510000000000005</v>
      </c>
      <c r="D186" s="75">
        <v>91.94</v>
      </c>
      <c r="E186" s="75">
        <v>71.510000000000005</v>
      </c>
      <c r="F186" s="75">
        <v>91.94</v>
      </c>
    </row>
    <row r="187" spans="1:6" ht="15" thickBot="1">
      <c r="A187" s="74" t="s">
        <v>376</v>
      </c>
      <c r="B187" s="75">
        <v>51.66</v>
      </c>
      <c r="C187" s="75">
        <v>72.33</v>
      </c>
      <c r="D187" s="75">
        <v>92.99</v>
      </c>
      <c r="E187" s="75">
        <v>72.33</v>
      </c>
      <c r="F187" s="75">
        <v>92.99</v>
      </c>
    </row>
    <row r="188" spans="1:6" ht="15" thickBot="1">
      <c r="A188" s="74" t="s">
        <v>378</v>
      </c>
      <c r="B188" s="75">
        <v>52.24</v>
      </c>
      <c r="C188" s="75">
        <v>73.13</v>
      </c>
      <c r="D188" s="75">
        <v>94.03</v>
      </c>
      <c r="E188" s="75">
        <v>73.13</v>
      </c>
      <c r="F188" s="75">
        <v>94.03</v>
      </c>
    </row>
    <row r="189" spans="1:6" ht="15" thickBot="1">
      <c r="A189" s="67" t="s">
        <v>423</v>
      </c>
    </row>
    <row r="190" spans="1:6" ht="28.5" thickBot="1">
      <c r="A190" s="73" t="s">
        <v>415</v>
      </c>
      <c r="B190" s="65" t="s">
        <v>420</v>
      </c>
      <c r="C190" s="65" t="s">
        <v>472</v>
      </c>
      <c r="D190" s="65" t="s">
        <v>421</v>
      </c>
      <c r="E190" s="65" t="s">
        <v>482</v>
      </c>
      <c r="F190" s="65" t="s">
        <v>474</v>
      </c>
    </row>
    <row r="191" spans="1:6" ht="15" thickBot="1">
      <c r="A191" s="74" t="s">
        <v>300</v>
      </c>
      <c r="B191" s="75">
        <v>63.55</v>
      </c>
      <c r="C191" s="75">
        <v>31.2</v>
      </c>
      <c r="D191" s="75">
        <v>32.35</v>
      </c>
      <c r="E191" s="75">
        <v>32.93</v>
      </c>
      <c r="F191" s="75">
        <v>35.82</v>
      </c>
    </row>
    <row r="192" spans="1:6" ht="15" thickBot="1">
      <c r="A192" s="74" t="s">
        <v>302</v>
      </c>
      <c r="B192" s="75">
        <v>65.84</v>
      </c>
      <c r="C192" s="75">
        <v>32.32</v>
      </c>
      <c r="D192" s="75">
        <v>33.520000000000003</v>
      </c>
      <c r="E192" s="75">
        <v>34.11</v>
      </c>
      <c r="F192" s="75">
        <v>37.11</v>
      </c>
    </row>
    <row r="193" spans="1:6" ht="15" thickBot="1">
      <c r="A193" s="74" t="s">
        <v>304</v>
      </c>
      <c r="B193" s="75">
        <v>68.010000000000005</v>
      </c>
      <c r="C193" s="75">
        <v>33.39</v>
      </c>
      <c r="D193" s="75">
        <v>34.619999999999997</v>
      </c>
      <c r="E193" s="75">
        <v>35.24</v>
      </c>
      <c r="F193" s="75">
        <v>38.33</v>
      </c>
    </row>
    <row r="194" spans="1:6" ht="15" thickBot="1">
      <c r="A194" s="74" t="s">
        <v>306</v>
      </c>
      <c r="B194" s="75">
        <v>72</v>
      </c>
      <c r="C194" s="75">
        <v>35.340000000000003</v>
      </c>
      <c r="D194" s="75">
        <v>36.65</v>
      </c>
      <c r="E194" s="75">
        <v>37.31</v>
      </c>
      <c r="F194" s="75">
        <v>40.58</v>
      </c>
    </row>
    <row r="195" spans="1:6" ht="15" thickBot="1">
      <c r="A195" s="74" t="s">
        <v>308</v>
      </c>
      <c r="B195" s="75">
        <v>63.55</v>
      </c>
      <c r="C195" s="75">
        <v>31.2</v>
      </c>
      <c r="D195" s="75">
        <v>32.35</v>
      </c>
      <c r="E195" s="75">
        <v>32.93</v>
      </c>
      <c r="F195" s="75">
        <v>35.82</v>
      </c>
    </row>
    <row r="196" spans="1:6" ht="15" thickBot="1">
      <c r="A196" s="74" t="s">
        <v>310</v>
      </c>
      <c r="B196" s="75">
        <v>65.84</v>
      </c>
      <c r="C196" s="75">
        <v>32.32</v>
      </c>
      <c r="D196" s="75">
        <v>33.520000000000003</v>
      </c>
      <c r="E196" s="75">
        <v>34.11</v>
      </c>
      <c r="F196" s="75">
        <v>37.11</v>
      </c>
    </row>
    <row r="197" spans="1:6" ht="15" thickBot="1">
      <c r="A197" s="74" t="s">
        <v>312</v>
      </c>
      <c r="B197" s="75">
        <v>68.010000000000005</v>
      </c>
      <c r="C197" s="75">
        <v>33.39</v>
      </c>
      <c r="D197" s="75">
        <v>34.619999999999997</v>
      </c>
      <c r="E197" s="75">
        <v>35.24</v>
      </c>
      <c r="F197" s="75">
        <v>38.33</v>
      </c>
    </row>
    <row r="198" spans="1:6" ht="15" thickBot="1">
      <c r="A198" s="74" t="s">
        <v>314</v>
      </c>
      <c r="B198" s="75">
        <v>70.900000000000006</v>
      </c>
      <c r="C198" s="75">
        <v>34.799999999999997</v>
      </c>
      <c r="D198" s="75">
        <v>36.090000000000003</v>
      </c>
      <c r="E198" s="75">
        <v>36.74</v>
      </c>
      <c r="F198" s="75">
        <v>39.96</v>
      </c>
    </row>
    <row r="199" spans="1:6" ht="15" thickBot="1">
      <c r="A199" s="74" t="s">
        <v>316</v>
      </c>
      <c r="B199" s="75">
        <v>72</v>
      </c>
      <c r="C199" s="75">
        <v>35.340000000000003</v>
      </c>
      <c r="D199" s="75">
        <v>36.65</v>
      </c>
      <c r="E199" s="75">
        <v>37.31</v>
      </c>
      <c r="F199" s="75">
        <v>40.58</v>
      </c>
    </row>
    <row r="200" spans="1:6" ht="15" thickBot="1">
      <c r="A200" s="74" t="s">
        <v>318</v>
      </c>
      <c r="B200" s="75">
        <v>72</v>
      </c>
      <c r="C200" s="75">
        <v>35.340000000000003</v>
      </c>
      <c r="D200" s="75">
        <v>36.65</v>
      </c>
      <c r="E200" s="75">
        <v>37.31</v>
      </c>
      <c r="F200" s="75">
        <v>40.58</v>
      </c>
    </row>
    <row r="201" spans="1:6" ht="15" thickBot="1">
      <c r="A201" s="74" t="s">
        <v>320</v>
      </c>
      <c r="B201" s="75">
        <v>74.5</v>
      </c>
      <c r="C201" s="75">
        <v>36.57</v>
      </c>
      <c r="D201" s="75">
        <v>37.93</v>
      </c>
      <c r="E201" s="75">
        <v>38.6</v>
      </c>
      <c r="F201" s="75">
        <v>41.99</v>
      </c>
    </row>
    <row r="202" spans="1:6" ht="15" thickBot="1">
      <c r="A202" s="74" t="s">
        <v>322</v>
      </c>
      <c r="B202" s="75">
        <v>76.84</v>
      </c>
      <c r="C202" s="75">
        <v>37.72</v>
      </c>
      <c r="D202" s="75">
        <v>39.119999999999997</v>
      </c>
      <c r="E202" s="75">
        <v>39.81</v>
      </c>
      <c r="F202" s="75">
        <v>43.31</v>
      </c>
    </row>
    <row r="203" spans="1:6" ht="15" thickBot="1">
      <c r="A203" s="74" t="s">
        <v>324</v>
      </c>
      <c r="B203" s="75">
        <v>81.069999999999993</v>
      </c>
      <c r="C203" s="75">
        <v>39.799999999999997</v>
      </c>
      <c r="D203" s="75">
        <v>41.27</v>
      </c>
      <c r="E203" s="75">
        <v>42.01</v>
      </c>
      <c r="F203" s="75">
        <v>45.69</v>
      </c>
    </row>
    <row r="204" spans="1:6" ht="15" thickBot="1">
      <c r="A204" s="74" t="s">
        <v>326</v>
      </c>
      <c r="B204" s="75">
        <v>76.84</v>
      </c>
      <c r="C204" s="75">
        <v>37.72</v>
      </c>
      <c r="D204" s="75">
        <v>39.119999999999997</v>
      </c>
      <c r="E204" s="75">
        <v>39.81</v>
      </c>
      <c r="F204" s="75">
        <v>43.31</v>
      </c>
    </row>
    <row r="205" spans="1:6" ht="15" thickBot="1">
      <c r="A205" s="74" t="s">
        <v>328</v>
      </c>
      <c r="B205" s="75">
        <v>77.91</v>
      </c>
      <c r="C205" s="75">
        <v>38.25</v>
      </c>
      <c r="D205" s="75">
        <v>39.659999999999997</v>
      </c>
      <c r="E205" s="75">
        <v>40.369999999999997</v>
      </c>
      <c r="F205" s="75">
        <v>43.91</v>
      </c>
    </row>
    <row r="206" spans="1:6" ht="15" thickBot="1">
      <c r="A206" s="74" t="s">
        <v>330</v>
      </c>
      <c r="B206" s="75">
        <v>78.98</v>
      </c>
      <c r="C206" s="75">
        <v>38.770000000000003</v>
      </c>
      <c r="D206" s="75">
        <v>40.21</v>
      </c>
      <c r="E206" s="75">
        <v>40.93</v>
      </c>
      <c r="F206" s="75">
        <v>44.52</v>
      </c>
    </row>
    <row r="207" spans="1:6" ht="15" thickBot="1">
      <c r="A207" s="74" t="s">
        <v>332</v>
      </c>
      <c r="B207" s="75">
        <v>80.08</v>
      </c>
      <c r="C207" s="75">
        <v>39.31</v>
      </c>
      <c r="D207" s="75">
        <v>40.770000000000003</v>
      </c>
      <c r="E207" s="75">
        <v>41.5</v>
      </c>
      <c r="F207" s="75">
        <v>45.14</v>
      </c>
    </row>
    <row r="208" spans="1:6" ht="15" thickBot="1">
      <c r="A208" s="74" t="s">
        <v>334</v>
      </c>
      <c r="B208" s="75">
        <v>81.150000000000006</v>
      </c>
      <c r="C208" s="75">
        <v>39.840000000000003</v>
      </c>
      <c r="D208" s="75">
        <v>41.31</v>
      </c>
      <c r="E208" s="75">
        <v>42.05</v>
      </c>
      <c r="F208" s="75">
        <v>45.74</v>
      </c>
    </row>
    <row r="209" spans="1:6" ht="15" thickBot="1">
      <c r="A209" s="74" t="s">
        <v>336</v>
      </c>
      <c r="B209" s="75">
        <v>84.81</v>
      </c>
      <c r="C209" s="75">
        <v>41.63</v>
      </c>
      <c r="D209" s="75">
        <v>43.18</v>
      </c>
      <c r="E209" s="75">
        <v>43.95</v>
      </c>
      <c r="F209" s="75">
        <v>47.8</v>
      </c>
    </row>
    <row r="210" spans="1:6" ht="15" thickBot="1">
      <c r="A210" s="74" t="s">
        <v>338</v>
      </c>
      <c r="B210" s="75">
        <v>86.13</v>
      </c>
      <c r="C210" s="75">
        <v>42.28</v>
      </c>
      <c r="D210" s="75">
        <v>43.85</v>
      </c>
      <c r="E210" s="75">
        <v>44.63</v>
      </c>
      <c r="F210" s="75">
        <v>48.55</v>
      </c>
    </row>
    <row r="211" spans="1:6" ht="15" thickBot="1">
      <c r="A211" s="74" t="s">
        <v>340</v>
      </c>
      <c r="B211" s="75">
        <v>87.4</v>
      </c>
      <c r="C211" s="75">
        <v>42.9</v>
      </c>
      <c r="D211" s="75">
        <v>44.49</v>
      </c>
      <c r="E211" s="75">
        <v>45.29</v>
      </c>
      <c r="F211" s="75">
        <v>49.26</v>
      </c>
    </row>
    <row r="212" spans="1:6" ht="15" thickBot="1">
      <c r="A212" s="74" t="s">
        <v>342</v>
      </c>
      <c r="B212" s="75">
        <v>88.69</v>
      </c>
      <c r="C212" s="75">
        <v>43.54</v>
      </c>
      <c r="D212" s="75">
        <v>45.15</v>
      </c>
      <c r="E212" s="75">
        <v>45.96</v>
      </c>
      <c r="F212" s="75">
        <v>49.99</v>
      </c>
    </row>
    <row r="213" spans="1:6" ht="15" thickBot="1">
      <c r="A213" s="74" t="s">
        <v>344</v>
      </c>
      <c r="B213" s="75">
        <v>89.98</v>
      </c>
      <c r="C213" s="75">
        <v>44.17</v>
      </c>
      <c r="D213" s="75">
        <v>45.81</v>
      </c>
      <c r="E213" s="75">
        <v>46.63</v>
      </c>
      <c r="F213" s="75">
        <v>50.72</v>
      </c>
    </row>
    <row r="214" spans="1:6" ht="15" thickBot="1">
      <c r="A214" s="74" t="s">
        <v>346</v>
      </c>
      <c r="B214" s="75">
        <v>91.25</v>
      </c>
      <c r="C214" s="75">
        <v>44.79</v>
      </c>
      <c r="D214" s="75">
        <v>46.45</v>
      </c>
      <c r="E214" s="75">
        <v>47.28</v>
      </c>
      <c r="F214" s="75">
        <v>51.43</v>
      </c>
    </row>
    <row r="215" spans="1:6" ht="15" thickBot="1">
      <c r="A215" s="74" t="s">
        <v>348</v>
      </c>
      <c r="B215" s="75">
        <v>88.69</v>
      </c>
      <c r="C215" s="75">
        <v>43.54</v>
      </c>
      <c r="D215" s="75">
        <v>45.15</v>
      </c>
      <c r="E215" s="75">
        <v>45.96</v>
      </c>
      <c r="F215" s="75">
        <v>49.99</v>
      </c>
    </row>
    <row r="216" spans="1:6" ht="15" thickBot="1">
      <c r="A216" s="74" t="s">
        <v>350</v>
      </c>
      <c r="B216" s="75">
        <v>89.98</v>
      </c>
      <c r="C216" s="75">
        <v>44.17</v>
      </c>
      <c r="D216" s="75">
        <v>45.81</v>
      </c>
      <c r="E216" s="75">
        <v>46.63</v>
      </c>
      <c r="F216" s="75">
        <v>50.72</v>
      </c>
    </row>
    <row r="217" spans="1:6" ht="15" thickBot="1">
      <c r="A217" s="74" t="s">
        <v>352</v>
      </c>
      <c r="B217" s="75">
        <v>91.25</v>
      </c>
      <c r="C217" s="75">
        <v>44.79</v>
      </c>
      <c r="D217" s="75">
        <v>46.45</v>
      </c>
      <c r="E217" s="75">
        <v>47.28</v>
      </c>
      <c r="F217" s="75">
        <v>51.43</v>
      </c>
    </row>
    <row r="218" spans="1:6" ht="15" thickBot="1">
      <c r="A218" s="74" t="s">
        <v>354</v>
      </c>
      <c r="B218" s="75">
        <v>91.58</v>
      </c>
      <c r="C218" s="75">
        <v>44.96</v>
      </c>
      <c r="D218" s="75">
        <v>46.62</v>
      </c>
      <c r="E218" s="75">
        <v>47.45</v>
      </c>
      <c r="F218" s="75">
        <v>51.62</v>
      </c>
    </row>
    <row r="219" spans="1:6" ht="15" thickBot="1">
      <c r="A219" s="74" t="s">
        <v>356</v>
      </c>
      <c r="B219" s="75">
        <v>102.27</v>
      </c>
      <c r="C219" s="75">
        <v>50.21</v>
      </c>
      <c r="D219" s="75">
        <v>52.07</v>
      </c>
      <c r="E219" s="75">
        <v>53</v>
      </c>
      <c r="F219" s="75">
        <v>57.64</v>
      </c>
    </row>
    <row r="220" spans="1:6" ht="15" thickBot="1">
      <c r="A220" s="74" t="s">
        <v>358</v>
      </c>
      <c r="B220" s="75">
        <v>103.57</v>
      </c>
      <c r="C220" s="75">
        <v>50.84</v>
      </c>
      <c r="D220" s="75">
        <v>52.72</v>
      </c>
      <c r="E220" s="75">
        <v>53.67</v>
      </c>
      <c r="F220" s="75">
        <v>58.37</v>
      </c>
    </row>
    <row r="221" spans="1:6" ht="15" thickBot="1">
      <c r="A221" s="74" t="s">
        <v>360</v>
      </c>
      <c r="B221" s="75">
        <v>104.83</v>
      </c>
      <c r="C221" s="75">
        <v>51.46</v>
      </c>
      <c r="D221" s="75">
        <v>53.37</v>
      </c>
      <c r="E221" s="75">
        <v>54.32</v>
      </c>
      <c r="F221" s="75">
        <v>59.09</v>
      </c>
    </row>
    <row r="222" spans="1:6" ht="15" thickBot="1">
      <c r="A222" s="74" t="s">
        <v>362</v>
      </c>
      <c r="B222" s="75">
        <v>102.27</v>
      </c>
      <c r="C222" s="75">
        <v>50.21</v>
      </c>
      <c r="D222" s="75">
        <v>52.07</v>
      </c>
      <c r="E222" s="75">
        <v>53</v>
      </c>
      <c r="F222" s="75">
        <v>57.64</v>
      </c>
    </row>
    <row r="223" spans="1:6" ht="15" thickBot="1">
      <c r="A223" s="74" t="s">
        <v>364</v>
      </c>
      <c r="B223" s="75">
        <v>103.57</v>
      </c>
      <c r="C223" s="75">
        <v>50.84</v>
      </c>
      <c r="D223" s="75">
        <v>52.72</v>
      </c>
      <c r="E223" s="75">
        <v>53.67</v>
      </c>
      <c r="F223" s="75">
        <v>58.37</v>
      </c>
    </row>
    <row r="224" spans="1:6" ht="15" thickBot="1">
      <c r="A224" s="74" t="s">
        <v>366</v>
      </c>
      <c r="B224" s="75">
        <v>104.83</v>
      </c>
      <c r="C224" s="75">
        <v>51.46</v>
      </c>
      <c r="D224" s="75">
        <v>53.37</v>
      </c>
      <c r="E224" s="75">
        <v>54.32</v>
      </c>
      <c r="F224" s="75">
        <v>59.09</v>
      </c>
    </row>
    <row r="225" spans="1:6" ht="15" thickBot="1">
      <c r="A225" s="74" t="s">
        <v>368</v>
      </c>
      <c r="B225" s="75">
        <v>108.74</v>
      </c>
      <c r="C225" s="75">
        <v>53.38</v>
      </c>
      <c r="D225" s="75">
        <v>55.36</v>
      </c>
      <c r="E225" s="75">
        <v>56.34</v>
      </c>
      <c r="F225" s="75">
        <v>61.29</v>
      </c>
    </row>
    <row r="226" spans="1:6" ht="15" thickBot="1">
      <c r="A226" s="74" t="s">
        <v>370</v>
      </c>
      <c r="B226" s="75">
        <v>109.73</v>
      </c>
      <c r="C226" s="75">
        <v>53.87</v>
      </c>
      <c r="D226" s="75">
        <v>55.86</v>
      </c>
      <c r="E226" s="75">
        <v>56.86</v>
      </c>
      <c r="F226" s="75">
        <v>61.85</v>
      </c>
    </row>
    <row r="227" spans="1:6" ht="15" thickBot="1">
      <c r="A227" s="74" t="s">
        <v>372</v>
      </c>
      <c r="B227" s="75">
        <v>111.05</v>
      </c>
      <c r="C227" s="75">
        <v>54.51</v>
      </c>
      <c r="D227" s="75">
        <v>56.53</v>
      </c>
      <c r="E227" s="75">
        <v>57.54</v>
      </c>
      <c r="F227" s="75">
        <v>62.59</v>
      </c>
    </row>
    <row r="228" spans="1:6" ht="15" thickBot="1">
      <c r="A228" s="74" t="s">
        <v>374</v>
      </c>
      <c r="B228" s="75">
        <v>112.37</v>
      </c>
      <c r="C228" s="75">
        <v>55.16</v>
      </c>
      <c r="D228" s="75">
        <v>57.2</v>
      </c>
      <c r="E228" s="75">
        <v>58.23</v>
      </c>
      <c r="F228" s="75">
        <v>63.33</v>
      </c>
    </row>
    <row r="229" spans="1:6" ht="15" thickBot="1">
      <c r="A229" s="74" t="s">
        <v>376</v>
      </c>
      <c r="B229" s="75">
        <v>113.66</v>
      </c>
      <c r="C229" s="75">
        <v>55.8</v>
      </c>
      <c r="D229" s="75">
        <v>57.86</v>
      </c>
      <c r="E229" s="75">
        <v>58.9</v>
      </c>
      <c r="F229" s="75">
        <v>64.06</v>
      </c>
    </row>
    <row r="230" spans="1:6" ht="15" thickBot="1">
      <c r="A230" s="74" t="s">
        <v>378</v>
      </c>
      <c r="B230" s="75">
        <v>114.92</v>
      </c>
      <c r="C230" s="75">
        <v>56.42</v>
      </c>
      <c r="D230" s="75">
        <v>58.51</v>
      </c>
      <c r="E230" s="75">
        <v>59.55</v>
      </c>
      <c r="F230" s="75">
        <v>64.77</v>
      </c>
    </row>
    <row r="231" spans="1:6" ht="15" thickBot="1">
      <c r="A231" s="67" t="s">
        <v>458</v>
      </c>
    </row>
    <row r="232" spans="1:6" ht="56.45" thickBot="1">
      <c r="A232" s="73" t="s">
        <v>415</v>
      </c>
      <c r="B232" s="65" t="s">
        <v>475</v>
      </c>
      <c r="C232" s="65" t="s">
        <v>476</v>
      </c>
      <c r="D232" s="65" t="s">
        <v>477</v>
      </c>
      <c r="E232" s="65" t="s">
        <v>478</v>
      </c>
    </row>
    <row r="233" spans="1:6" ht="15" thickBot="1">
      <c r="A233" s="74" t="s">
        <v>300</v>
      </c>
      <c r="B233" s="75">
        <v>40.44</v>
      </c>
      <c r="C233" s="75">
        <v>52</v>
      </c>
      <c r="D233" s="75">
        <v>40.44</v>
      </c>
      <c r="E233" s="75">
        <v>52</v>
      </c>
    </row>
    <row r="234" spans="1:6" ht="15" thickBot="1">
      <c r="A234" s="74" t="s">
        <v>302</v>
      </c>
      <c r="B234" s="75">
        <v>41.9</v>
      </c>
      <c r="C234" s="75">
        <v>53.87</v>
      </c>
      <c r="D234" s="75">
        <v>41.9</v>
      </c>
      <c r="E234" s="75">
        <v>53.87</v>
      </c>
    </row>
    <row r="235" spans="1:6" ht="15" thickBot="1">
      <c r="A235" s="74" t="s">
        <v>304</v>
      </c>
      <c r="B235" s="75">
        <v>43.28</v>
      </c>
      <c r="C235" s="75">
        <v>55.64</v>
      </c>
      <c r="D235" s="75">
        <v>43.28</v>
      </c>
      <c r="E235" s="75">
        <v>55.64</v>
      </c>
    </row>
    <row r="236" spans="1:6" ht="15" thickBot="1">
      <c r="A236" s="74" t="s">
        <v>306</v>
      </c>
      <c r="B236" s="75">
        <v>45.82</v>
      </c>
      <c r="C236" s="75">
        <v>58.91</v>
      </c>
      <c r="D236" s="75">
        <v>45.82</v>
      </c>
      <c r="E236" s="75">
        <v>58.91</v>
      </c>
    </row>
    <row r="237" spans="1:6" ht="15" thickBot="1">
      <c r="A237" s="74" t="s">
        <v>308</v>
      </c>
      <c r="B237" s="75">
        <v>40.44</v>
      </c>
      <c r="C237" s="75">
        <v>52</v>
      </c>
      <c r="D237" s="75">
        <v>40.44</v>
      </c>
      <c r="E237" s="75">
        <v>52</v>
      </c>
    </row>
    <row r="238" spans="1:6" ht="15" thickBot="1">
      <c r="A238" s="74" t="s">
        <v>310</v>
      </c>
      <c r="B238" s="75">
        <v>41.9</v>
      </c>
      <c r="C238" s="75">
        <v>53.87</v>
      </c>
      <c r="D238" s="75">
        <v>41.9</v>
      </c>
      <c r="E238" s="75">
        <v>53.87</v>
      </c>
    </row>
    <row r="239" spans="1:6" ht="15" thickBot="1">
      <c r="A239" s="74" t="s">
        <v>312</v>
      </c>
      <c r="B239" s="75">
        <v>43.28</v>
      </c>
      <c r="C239" s="75">
        <v>55.64</v>
      </c>
      <c r="D239" s="75">
        <v>43.28</v>
      </c>
      <c r="E239" s="75">
        <v>55.64</v>
      </c>
    </row>
    <row r="240" spans="1:6" ht="15" thickBot="1">
      <c r="A240" s="74" t="s">
        <v>314</v>
      </c>
      <c r="B240" s="75">
        <v>45.12</v>
      </c>
      <c r="C240" s="75">
        <v>58.01</v>
      </c>
      <c r="D240" s="75">
        <v>45.12</v>
      </c>
      <c r="E240" s="75">
        <v>58.01</v>
      </c>
    </row>
    <row r="241" spans="1:5" ht="15" thickBot="1">
      <c r="A241" s="74" t="s">
        <v>316</v>
      </c>
      <c r="B241" s="75">
        <v>45.82</v>
      </c>
      <c r="C241" s="75">
        <v>58.91</v>
      </c>
      <c r="D241" s="75">
        <v>45.82</v>
      </c>
      <c r="E241" s="75">
        <v>58.91</v>
      </c>
    </row>
    <row r="242" spans="1:5" ht="15" thickBot="1">
      <c r="A242" s="74" t="s">
        <v>318</v>
      </c>
      <c r="B242" s="75">
        <v>45.82</v>
      </c>
      <c r="C242" s="75">
        <v>58.91</v>
      </c>
      <c r="D242" s="75">
        <v>45.82</v>
      </c>
      <c r="E242" s="75">
        <v>58.91</v>
      </c>
    </row>
    <row r="243" spans="1:5" ht="15" thickBot="1">
      <c r="A243" s="74" t="s">
        <v>320</v>
      </c>
      <c r="B243" s="75">
        <v>47.41</v>
      </c>
      <c r="C243" s="75">
        <v>60.95</v>
      </c>
      <c r="D243" s="75">
        <v>47.41</v>
      </c>
      <c r="E243" s="75">
        <v>60.95</v>
      </c>
    </row>
    <row r="244" spans="1:5" ht="15" thickBot="1">
      <c r="A244" s="74" t="s">
        <v>322</v>
      </c>
      <c r="B244" s="75">
        <v>48.9</v>
      </c>
      <c r="C244" s="75">
        <v>62.87</v>
      </c>
      <c r="D244" s="75">
        <v>48.9</v>
      </c>
      <c r="E244" s="75">
        <v>62.87</v>
      </c>
    </row>
    <row r="245" spans="1:5" ht="15" thickBot="1">
      <c r="A245" s="74" t="s">
        <v>324</v>
      </c>
      <c r="B245" s="75">
        <v>51.59</v>
      </c>
      <c r="C245" s="75">
        <v>66.33</v>
      </c>
      <c r="D245" s="75">
        <v>51.59</v>
      </c>
      <c r="E245" s="75">
        <v>66.33</v>
      </c>
    </row>
    <row r="246" spans="1:5" ht="15" thickBot="1">
      <c r="A246" s="74" t="s">
        <v>326</v>
      </c>
      <c r="B246" s="75">
        <v>48.9</v>
      </c>
      <c r="C246" s="75">
        <v>62.87</v>
      </c>
      <c r="D246" s="75">
        <v>48.9</v>
      </c>
      <c r="E246" s="75">
        <v>62.87</v>
      </c>
    </row>
    <row r="247" spans="1:5" ht="15" thickBot="1">
      <c r="A247" s="74" t="s">
        <v>328</v>
      </c>
      <c r="B247" s="75">
        <v>49.58</v>
      </c>
      <c r="C247" s="75">
        <v>63.74</v>
      </c>
      <c r="D247" s="75">
        <v>49.58</v>
      </c>
      <c r="E247" s="75">
        <v>63.74</v>
      </c>
    </row>
    <row r="248" spans="1:5" ht="15" thickBot="1">
      <c r="A248" s="74" t="s">
        <v>330</v>
      </c>
      <c r="B248" s="75">
        <v>50.26</v>
      </c>
      <c r="C248" s="75">
        <v>64.62</v>
      </c>
      <c r="D248" s="75">
        <v>50.26</v>
      </c>
      <c r="E248" s="75">
        <v>64.62</v>
      </c>
    </row>
    <row r="249" spans="1:5" ht="15" thickBot="1">
      <c r="A249" s="74" t="s">
        <v>332</v>
      </c>
      <c r="B249" s="75">
        <v>50.96</v>
      </c>
      <c r="C249" s="75">
        <v>65.52</v>
      </c>
      <c r="D249" s="75">
        <v>50.96</v>
      </c>
      <c r="E249" s="75">
        <v>65.52</v>
      </c>
    </row>
    <row r="250" spans="1:5" ht="15" thickBot="1">
      <c r="A250" s="74" t="s">
        <v>334</v>
      </c>
      <c r="B250" s="75">
        <v>51.64</v>
      </c>
      <c r="C250" s="75">
        <v>66.400000000000006</v>
      </c>
      <c r="D250" s="75">
        <v>51.64</v>
      </c>
      <c r="E250" s="75">
        <v>66.400000000000006</v>
      </c>
    </row>
    <row r="251" spans="1:5" ht="15" thickBot="1">
      <c r="A251" s="74" t="s">
        <v>336</v>
      </c>
      <c r="B251" s="75">
        <v>53.97</v>
      </c>
      <c r="C251" s="75">
        <v>69.39</v>
      </c>
      <c r="D251" s="75">
        <v>53.97</v>
      </c>
      <c r="E251" s="75">
        <v>69.39</v>
      </c>
    </row>
    <row r="252" spans="1:5" ht="15" thickBot="1">
      <c r="A252" s="74" t="s">
        <v>338</v>
      </c>
      <c r="B252" s="75">
        <v>54.81</v>
      </c>
      <c r="C252" s="75">
        <v>70.47</v>
      </c>
      <c r="D252" s="75">
        <v>54.81</v>
      </c>
      <c r="E252" s="75">
        <v>70.47</v>
      </c>
    </row>
    <row r="253" spans="1:5" ht="15" thickBot="1">
      <c r="A253" s="74" t="s">
        <v>340</v>
      </c>
      <c r="B253" s="75">
        <v>55.62</v>
      </c>
      <c r="C253" s="75">
        <v>71.510000000000005</v>
      </c>
      <c r="D253" s="75">
        <v>55.62</v>
      </c>
      <c r="E253" s="75">
        <v>71.510000000000005</v>
      </c>
    </row>
    <row r="254" spans="1:5" ht="15" thickBot="1">
      <c r="A254" s="74" t="s">
        <v>342</v>
      </c>
      <c r="B254" s="75">
        <v>56.44</v>
      </c>
      <c r="C254" s="75">
        <v>72.56</v>
      </c>
      <c r="D254" s="75">
        <v>56.44</v>
      </c>
      <c r="E254" s="75">
        <v>72.56</v>
      </c>
    </row>
    <row r="255" spans="1:5" ht="15" thickBot="1">
      <c r="A255" s="74" t="s">
        <v>344</v>
      </c>
      <c r="B255" s="75">
        <v>57.26</v>
      </c>
      <c r="C255" s="75">
        <v>73.62</v>
      </c>
      <c r="D255" s="75">
        <v>57.26</v>
      </c>
      <c r="E255" s="75">
        <v>73.62</v>
      </c>
    </row>
    <row r="256" spans="1:5" ht="15" thickBot="1">
      <c r="A256" s="74" t="s">
        <v>346</v>
      </c>
      <c r="B256" s="75">
        <v>58.07</v>
      </c>
      <c r="C256" s="75">
        <v>74.66</v>
      </c>
      <c r="D256" s="75">
        <v>58.07</v>
      </c>
      <c r="E256" s="75">
        <v>74.66</v>
      </c>
    </row>
    <row r="257" spans="1:5" ht="15" thickBot="1">
      <c r="A257" s="74" t="s">
        <v>348</v>
      </c>
      <c r="B257" s="75">
        <v>56.44</v>
      </c>
      <c r="C257" s="75">
        <v>72.56</v>
      </c>
      <c r="D257" s="75">
        <v>56.44</v>
      </c>
      <c r="E257" s="75">
        <v>72.56</v>
      </c>
    </row>
    <row r="258" spans="1:5" ht="15" thickBot="1">
      <c r="A258" s="74" t="s">
        <v>350</v>
      </c>
      <c r="B258" s="75">
        <v>57.26</v>
      </c>
      <c r="C258" s="75">
        <v>73.62</v>
      </c>
      <c r="D258" s="75">
        <v>57.26</v>
      </c>
      <c r="E258" s="75">
        <v>73.62</v>
      </c>
    </row>
    <row r="259" spans="1:5" ht="15" thickBot="1">
      <c r="A259" s="74" t="s">
        <v>352</v>
      </c>
      <c r="B259" s="75">
        <v>58.07</v>
      </c>
      <c r="C259" s="75">
        <v>74.66</v>
      </c>
      <c r="D259" s="75">
        <v>58.07</v>
      </c>
      <c r="E259" s="75">
        <v>74.66</v>
      </c>
    </row>
    <row r="260" spans="1:5" ht="15" thickBot="1">
      <c r="A260" s="74" t="s">
        <v>354</v>
      </c>
      <c r="B260" s="75">
        <v>58.28</v>
      </c>
      <c r="C260" s="75">
        <v>74.930000000000007</v>
      </c>
      <c r="D260" s="75">
        <v>58.28</v>
      </c>
      <c r="E260" s="75">
        <v>74.930000000000007</v>
      </c>
    </row>
    <row r="261" spans="1:5" ht="15" thickBot="1">
      <c r="A261" s="74" t="s">
        <v>356</v>
      </c>
      <c r="B261" s="75">
        <v>65.08</v>
      </c>
      <c r="C261" s="75">
        <v>83.68</v>
      </c>
      <c r="D261" s="75">
        <v>65.08</v>
      </c>
      <c r="E261" s="75">
        <v>83.68</v>
      </c>
    </row>
    <row r="262" spans="1:5" ht="15" thickBot="1">
      <c r="A262" s="74" t="s">
        <v>358</v>
      </c>
      <c r="B262" s="75">
        <v>65.91</v>
      </c>
      <c r="C262" s="75">
        <v>84.74</v>
      </c>
      <c r="D262" s="75">
        <v>65.91</v>
      </c>
      <c r="E262" s="75">
        <v>84.74</v>
      </c>
    </row>
    <row r="263" spans="1:5" ht="15" thickBot="1">
      <c r="A263" s="74" t="s">
        <v>360</v>
      </c>
      <c r="B263" s="75">
        <v>66.709999999999994</v>
      </c>
      <c r="C263" s="75">
        <v>85.77</v>
      </c>
      <c r="D263" s="75">
        <v>66.709999999999994</v>
      </c>
      <c r="E263" s="75">
        <v>85.77</v>
      </c>
    </row>
    <row r="264" spans="1:5" ht="15" thickBot="1">
      <c r="A264" s="74" t="s">
        <v>362</v>
      </c>
      <c r="B264" s="75">
        <v>65.08</v>
      </c>
      <c r="C264" s="75">
        <v>83.68</v>
      </c>
      <c r="D264" s="75">
        <v>65.08</v>
      </c>
      <c r="E264" s="75">
        <v>83.68</v>
      </c>
    </row>
    <row r="265" spans="1:5" ht="15" thickBot="1">
      <c r="A265" s="74" t="s">
        <v>364</v>
      </c>
      <c r="B265" s="75">
        <v>65.91</v>
      </c>
      <c r="C265" s="75">
        <v>84.74</v>
      </c>
      <c r="D265" s="75">
        <v>65.91</v>
      </c>
      <c r="E265" s="75">
        <v>84.74</v>
      </c>
    </row>
    <row r="266" spans="1:5" ht="15" thickBot="1">
      <c r="A266" s="74" t="s">
        <v>366</v>
      </c>
      <c r="B266" s="75">
        <v>66.709999999999994</v>
      </c>
      <c r="C266" s="75">
        <v>85.77</v>
      </c>
      <c r="D266" s="75">
        <v>66.709999999999994</v>
      </c>
      <c r="E266" s="75">
        <v>85.77</v>
      </c>
    </row>
    <row r="267" spans="1:5" ht="15" thickBot="1">
      <c r="A267" s="74" t="s">
        <v>368</v>
      </c>
      <c r="B267" s="75">
        <v>69.2</v>
      </c>
      <c r="C267" s="75">
        <v>88.97</v>
      </c>
      <c r="D267" s="75">
        <v>69.2</v>
      </c>
      <c r="E267" s="75">
        <v>88.97</v>
      </c>
    </row>
    <row r="268" spans="1:5" ht="15" thickBot="1">
      <c r="A268" s="74" t="s">
        <v>370</v>
      </c>
      <c r="B268" s="75">
        <v>69.83</v>
      </c>
      <c r="C268" s="75">
        <v>89.78</v>
      </c>
      <c r="D268" s="75">
        <v>69.83</v>
      </c>
      <c r="E268" s="75">
        <v>89.78</v>
      </c>
    </row>
    <row r="269" spans="1:5" ht="15" thickBot="1">
      <c r="A269" s="74" t="s">
        <v>372</v>
      </c>
      <c r="B269" s="75">
        <v>70.67</v>
      </c>
      <c r="C269" s="75">
        <v>90.86</v>
      </c>
      <c r="D269" s="75">
        <v>70.67</v>
      </c>
      <c r="E269" s="75">
        <v>90.86</v>
      </c>
    </row>
    <row r="270" spans="1:5" ht="15" thickBot="1">
      <c r="A270" s="74" t="s">
        <v>374</v>
      </c>
      <c r="B270" s="75">
        <v>71.510000000000005</v>
      </c>
      <c r="C270" s="75">
        <v>91.94</v>
      </c>
      <c r="D270" s="75">
        <v>71.510000000000005</v>
      </c>
      <c r="E270" s="75">
        <v>91.94</v>
      </c>
    </row>
    <row r="271" spans="1:5" ht="15" thickBot="1">
      <c r="A271" s="74" t="s">
        <v>376</v>
      </c>
      <c r="B271" s="75">
        <v>72.33</v>
      </c>
      <c r="C271" s="75">
        <v>92.99</v>
      </c>
      <c r="D271" s="75">
        <v>72.33</v>
      </c>
      <c r="E271" s="75">
        <v>92.99</v>
      </c>
    </row>
    <row r="272" spans="1:5" ht="15" thickBot="1">
      <c r="A272" s="74" t="s">
        <v>378</v>
      </c>
      <c r="B272" s="75">
        <v>73.13</v>
      </c>
      <c r="C272" s="75">
        <v>94.03</v>
      </c>
      <c r="D272" s="75">
        <v>73.13</v>
      </c>
      <c r="E272" s="75">
        <v>94.03</v>
      </c>
    </row>
    <row r="273" spans="1:1">
      <c r="A273" s="66"/>
    </row>
  </sheetData>
  <hyperlinks>
    <hyperlink ref="B17" r:id="rId1" display="Children's Services Award 2023" xr:uid="{09BAE4DC-9A5A-4695-8B56-6C91CF55630E}"/>
  </hyperlinks>
  <pageMargins left="0.7" right="0.7" top="0.75" bottom="0.75" header="0.3" footer="0.3"/>
  <headerFooter>
    <oddHeader>&amp;L&amp;"Calibri"&amp;12&amp;K000000 OFFICIAL&amp;1#_x000D_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C710E3-0658-4A36-8C28-742389874FC8}">
  <sheetPr codeName="Sheet12"/>
  <dimension ref="A2:U42"/>
  <sheetViews>
    <sheetView workbookViewId="0"/>
  </sheetViews>
  <sheetFormatPr defaultColWidth="9.140625" defaultRowHeight="14.45"/>
  <cols>
    <col min="1" max="1" width="27.5703125" style="3" customWidth="1"/>
    <col min="2" max="2" width="15.7109375" style="3" customWidth="1"/>
    <col min="3" max="3" width="16.42578125" style="3" customWidth="1"/>
    <col min="4" max="8" width="16.140625" style="3" customWidth="1"/>
    <col min="9" max="9" width="32.5703125" style="3" customWidth="1"/>
    <col min="10" max="10" width="46.85546875" style="3" customWidth="1"/>
    <col min="11" max="11" width="44.140625" style="3" customWidth="1"/>
    <col min="12" max="12" width="60.5703125" style="3" customWidth="1"/>
    <col min="13" max="13" width="15.140625" style="3" customWidth="1"/>
    <col min="14" max="14" width="20" style="3" customWidth="1"/>
    <col min="15" max="15" width="18.28515625" style="3" customWidth="1"/>
    <col min="16" max="16" width="27.140625" style="3" customWidth="1"/>
    <col min="17" max="17" width="129.85546875" style="3" customWidth="1"/>
    <col min="18" max="16384" width="9.140625" style="3"/>
  </cols>
  <sheetData>
    <row r="2" spans="1:16" ht="24.95">
      <c r="A2" s="13"/>
      <c r="B2" s="16" t="s">
        <v>483</v>
      </c>
    </row>
    <row r="4" spans="1:16">
      <c r="B4" s="20" t="s">
        <v>484</v>
      </c>
    </row>
    <row r="5" spans="1:16">
      <c r="B5" s="22" t="s">
        <v>485</v>
      </c>
    </row>
    <row r="6" spans="1:16">
      <c r="B6" s="18" t="s">
        <v>80</v>
      </c>
      <c r="I6" s="20"/>
      <c r="J6" s="20"/>
      <c r="K6" s="20"/>
      <c r="L6" s="20"/>
      <c r="M6" s="20"/>
      <c r="N6" s="20"/>
      <c r="O6" s="20"/>
      <c r="P6" s="20"/>
    </row>
    <row r="7" spans="1:16">
      <c r="I7" s="20"/>
      <c r="J7" s="20"/>
      <c r="K7" s="20"/>
      <c r="L7" s="20"/>
      <c r="M7" s="20"/>
      <c r="N7" s="20"/>
      <c r="O7" s="20"/>
      <c r="P7" s="20"/>
    </row>
    <row r="8" spans="1:16">
      <c r="A8" s="21" t="s">
        <v>81</v>
      </c>
      <c r="B8" s="558"/>
      <c r="C8" s="558"/>
      <c r="D8" s="558"/>
      <c r="E8" s="442"/>
      <c r="F8" s="442"/>
      <c r="G8" s="442"/>
      <c r="H8" s="442"/>
      <c r="I8" s="20"/>
      <c r="J8" s="20"/>
      <c r="K8" s="20"/>
      <c r="L8" s="20"/>
      <c r="M8" s="20"/>
      <c r="N8" s="20"/>
    </row>
    <row r="9" spans="1:16">
      <c r="I9" s="20"/>
      <c r="J9" s="20"/>
      <c r="K9" s="20"/>
      <c r="L9" s="20"/>
      <c r="M9" s="20"/>
      <c r="N9" s="20"/>
      <c r="O9" s="20"/>
      <c r="P9" s="20"/>
    </row>
    <row r="10" spans="1:16" ht="26.25" customHeight="1">
      <c r="A10" s="21" t="s">
        <v>486</v>
      </c>
      <c r="B10" s="561" t="s">
        <v>487</v>
      </c>
      <c r="C10" s="561"/>
      <c r="D10" s="561"/>
      <c r="E10" s="562" t="s">
        <v>488</v>
      </c>
      <c r="F10" s="562"/>
      <c r="G10" s="562"/>
      <c r="H10" s="443"/>
      <c r="I10" s="20"/>
      <c r="J10" s="20"/>
      <c r="K10" s="20"/>
      <c r="L10" s="20"/>
      <c r="M10" s="20"/>
      <c r="N10" s="20"/>
    </row>
    <row r="11" spans="1:16" ht="15" thickBot="1">
      <c r="E11" s="46"/>
      <c r="F11" s="46"/>
      <c r="G11" s="46"/>
    </row>
    <row r="12" spans="1:16" ht="26.45">
      <c r="A12" s="5"/>
      <c r="B12" s="17" t="s">
        <v>121</v>
      </c>
      <c r="C12" s="17" t="s">
        <v>489</v>
      </c>
      <c r="D12" s="17" t="s">
        <v>490</v>
      </c>
      <c r="E12" s="17" t="s">
        <v>121</v>
      </c>
      <c r="F12" s="17" t="s">
        <v>489</v>
      </c>
      <c r="G12" s="17" t="s">
        <v>490</v>
      </c>
      <c r="H12" s="17" t="s">
        <v>491</v>
      </c>
      <c r="I12" s="17" t="s">
        <v>88</v>
      </c>
      <c r="J12" s="17" t="s">
        <v>492</v>
      </c>
    </row>
    <row r="13" spans="1:16" ht="15" thickBot="1">
      <c r="A13" s="21" t="s">
        <v>493</v>
      </c>
      <c r="B13" s="26"/>
      <c r="C13" s="27"/>
      <c r="D13" s="27"/>
      <c r="E13" s="27"/>
      <c r="F13" s="27"/>
      <c r="G13" s="27"/>
      <c r="H13" s="27"/>
      <c r="I13" s="8"/>
      <c r="J13" s="25" t="s">
        <v>494</v>
      </c>
    </row>
    <row r="14" spans="1:16">
      <c r="A14" s="38"/>
      <c r="B14" s="563" t="s">
        <v>92</v>
      </c>
      <c r="C14" s="563"/>
      <c r="D14" s="563"/>
      <c r="E14" s="563"/>
      <c r="F14" s="563"/>
      <c r="G14" s="563"/>
      <c r="H14" s="39"/>
      <c r="I14" s="39"/>
      <c r="J14" s="39"/>
    </row>
    <row r="15" spans="1:16" ht="15" thickBot="1">
      <c r="A15" s="9" t="s">
        <v>91</v>
      </c>
      <c r="B15" s="28">
        <v>121000</v>
      </c>
      <c r="C15" s="28"/>
      <c r="D15" s="28"/>
      <c r="E15" s="31"/>
      <c r="F15" s="31"/>
      <c r="G15" s="31"/>
      <c r="H15" s="28">
        <f>SUM(B15:G15)</f>
        <v>121000</v>
      </c>
      <c r="I15" s="10"/>
      <c r="J15" s="25" t="s">
        <v>495</v>
      </c>
    </row>
    <row r="16" spans="1:16" ht="24.6" thickBot="1">
      <c r="A16" s="9" t="s">
        <v>93</v>
      </c>
      <c r="B16" s="28"/>
      <c r="C16" s="28"/>
      <c r="D16" s="28"/>
      <c r="E16" s="31"/>
      <c r="F16" s="31"/>
      <c r="G16" s="31"/>
      <c r="H16" s="28">
        <f t="shared" ref="H16:H17" si="0">SUM(B16:G16)</f>
        <v>0</v>
      </c>
      <c r="I16" s="10"/>
      <c r="J16" s="25" t="s">
        <v>496</v>
      </c>
    </row>
    <row r="17" spans="1:10" ht="15" thickBot="1">
      <c r="A17" s="9" t="s">
        <v>497</v>
      </c>
      <c r="B17" s="28"/>
      <c r="C17" s="28"/>
      <c r="D17" s="28"/>
      <c r="E17" s="31"/>
      <c r="F17" s="31"/>
      <c r="G17" s="31"/>
      <c r="H17" s="28">
        <f t="shared" si="0"/>
        <v>0</v>
      </c>
      <c r="I17" s="10"/>
      <c r="J17" s="24" t="s">
        <v>498</v>
      </c>
    </row>
    <row r="18" spans="1:10" ht="15" thickBot="1">
      <c r="A18" s="47" t="s">
        <v>94</v>
      </c>
      <c r="B18" s="54">
        <f>SUM(B15:B17)</f>
        <v>121000</v>
      </c>
      <c r="C18" s="54">
        <f t="shared" ref="C18:H18" si="1">SUM(C15:C17)</f>
        <v>0</v>
      </c>
      <c r="D18" s="54">
        <f t="shared" si="1"/>
        <v>0</v>
      </c>
      <c r="E18" s="55">
        <f t="shared" si="1"/>
        <v>0</v>
      </c>
      <c r="F18" s="55">
        <f t="shared" si="1"/>
        <v>0</v>
      </c>
      <c r="G18" s="55">
        <f t="shared" si="1"/>
        <v>0</v>
      </c>
      <c r="H18" s="61">
        <f t="shared" si="1"/>
        <v>121000</v>
      </c>
      <c r="I18" s="49"/>
      <c r="J18" s="49"/>
    </row>
    <row r="19" spans="1:10" ht="27" customHeight="1" thickBot="1">
      <c r="A19" s="57" t="s">
        <v>499</v>
      </c>
      <c r="B19" s="564" t="s">
        <v>96</v>
      </c>
      <c r="C19" s="564"/>
      <c r="D19" s="564"/>
      <c r="E19" s="564"/>
      <c r="F19" s="564"/>
      <c r="G19" s="564"/>
      <c r="H19" s="58"/>
      <c r="I19" s="58"/>
      <c r="J19" s="59"/>
    </row>
    <row r="20" spans="1:10" ht="15" thickBot="1">
      <c r="A20" s="9" t="s">
        <v>97</v>
      </c>
      <c r="B20" s="29">
        <v>30000</v>
      </c>
      <c r="C20" s="29"/>
      <c r="D20" s="29"/>
      <c r="E20" s="31"/>
      <c r="F20" s="31"/>
      <c r="G20" s="31"/>
      <c r="H20" s="29">
        <f t="shared" ref="H20:H24" si="2">SUM(B20:G20)</f>
        <v>30000</v>
      </c>
      <c r="I20" s="10"/>
      <c r="J20" s="10"/>
    </row>
    <row r="21" spans="1:10" ht="15" thickBot="1">
      <c r="A21" s="9" t="s">
        <v>98</v>
      </c>
      <c r="B21" s="29">
        <v>9000</v>
      </c>
      <c r="C21" s="29"/>
      <c r="D21" s="29"/>
      <c r="E21" s="31"/>
      <c r="F21" s="31"/>
      <c r="G21" s="31"/>
      <c r="H21" s="29">
        <f t="shared" si="2"/>
        <v>9000</v>
      </c>
      <c r="I21" s="10"/>
      <c r="J21" s="10"/>
    </row>
    <row r="22" spans="1:10" ht="15" thickBot="1">
      <c r="A22" s="9" t="s">
        <v>99</v>
      </c>
      <c r="B22" s="29">
        <v>8000</v>
      </c>
      <c r="C22" s="29">
        <v>2000</v>
      </c>
      <c r="D22" s="29"/>
      <c r="E22" s="31"/>
      <c r="F22" s="31"/>
      <c r="G22" s="31"/>
      <c r="H22" s="29">
        <f t="shared" si="2"/>
        <v>10000</v>
      </c>
      <c r="I22" s="10"/>
      <c r="J22" s="10"/>
    </row>
    <row r="23" spans="1:10" ht="15" thickBot="1">
      <c r="A23" s="9" t="s">
        <v>500</v>
      </c>
      <c r="B23" s="29"/>
      <c r="C23" s="29"/>
      <c r="D23" s="29"/>
      <c r="E23" s="31"/>
      <c r="F23" s="31"/>
      <c r="G23" s="31"/>
      <c r="H23" s="29">
        <f t="shared" si="2"/>
        <v>0</v>
      </c>
      <c r="I23" s="10"/>
      <c r="J23" s="10"/>
    </row>
    <row r="24" spans="1:10" ht="15" thickBot="1">
      <c r="A24" s="9" t="s">
        <v>100</v>
      </c>
      <c r="B24" s="29"/>
      <c r="C24" s="29"/>
      <c r="D24" s="29"/>
      <c r="E24" s="31"/>
      <c r="F24" s="31"/>
      <c r="G24" s="31"/>
      <c r="H24" s="29">
        <f t="shared" si="2"/>
        <v>0</v>
      </c>
      <c r="I24" s="10"/>
      <c r="J24" s="10"/>
    </row>
    <row r="25" spans="1:10" ht="15" thickBot="1">
      <c r="A25" s="47" t="s">
        <v>101</v>
      </c>
      <c r="B25" s="56">
        <f>SUM(B20:B24)</f>
        <v>47000</v>
      </c>
      <c r="C25" s="56">
        <f t="shared" ref="C25:H25" si="3">SUM(C20:C24)</f>
        <v>2000</v>
      </c>
      <c r="D25" s="56">
        <f t="shared" si="3"/>
        <v>0</v>
      </c>
      <c r="E25" s="55">
        <f t="shared" si="3"/>
        <v>0</v>
      </c>
      <c r="F25" s="55">
        <f t="shared" si="3"/>
        <v>0</v>
      </c>
      <c r="G25" s="55">
        <f t="shared" si="3"/>
        <v>0</v>
      </c>
      <c r="H25" s="60">
        <f t="shared" si="3"/>
        <v>49000</v>
      </c>
      <c r="I25" s="48"/>
      <c r="J25" s="49"/>
    </row>
    <row r="26" spans="1:10" ht="28.5" customHeight="1" thickBot="1">
      <c r="A26" s="57" t="s">
        <v>501</v>
      </c>
      <c r="B26" s="564" t="s">
        <v>96</v>
      </c>
      <c r="C26" s="564"/>
      <c r="D26" s="564"/>
      <c r="E26" s="564"/>
      <c r="F26" s="564"/>
      <c r="G26" s="564"/>
      <c r="H26" s="58"/>
      <c r="I26" s="58"/>
      <c r="J26" s="59"/>
    </row>
    <row r="27" spans="1:10" ht="35.1" thickBot="1">
      <c r="A27" s="50" t="s">
        <v>103</v>
      </c>
      <c r="B27" s="28">
        <v>13000</v>
      </c>
      <c r="C27" s="68"/>
      <c r="D27" s="68"/>
      <c r="E27" s="31"/>
      <c r="F27" s="68"/>
      <c r="G27" s="68"/>
      <c r="H27" s="28">
        <f t="shared" ref="H27:H36" si="4">SUM(B27:G27)</f>
        <v>13000</v>
      </c>
      <c r="I27" s="51"/>
      <c r="J27" s="24" t="s">
        <v>502</v>
      </c>
    </row>
    <row r="28" spans="1:10" ht="35.1" thickBot="1">
      <c r="A28" s="19" t="s">
        <v>503</v>
      </c>
      <c r="B28" s="30">
        <v>4500</v>
      </c>
      <c r="C28" s="68"/>
      <c r="D28" s="69"/>
      <c r="E28" s="31"/>
      <c r="F28" s="69"/>
      <c r="G28" s="69"/>
      <c r="H28" s="30">
        <f t="shared" si="4"/>
        <v>4500</v>
      </c>
      <c r="I28" s="2"/>
      <c r="J28" s="24" t="s">
        <v>504</v>
      </c>
    </row>
    <row r="29" spans="1:10" ht="35.1" thickBot="1">
      <c r="A29" s="19" t="s">
        <v>505</v>
      </c>
      <c r="B29" s="30">
        <v>2000</v>
      </c>
      <c r="C29" s="28"/>
      <c r="D29" s="69"/>
      <c r="E29" s="31"/>
      <c r="F29" s="31"/>
      <c r="G29" s="69"/>
      <c r="H29" s="30">
        <f t="shared" si="4"/>
        <v>2000</v>
      </c>
      <c r="I29" s="2"/>
      <c r="J29" s="24" t="s">
        <v>506</v>
      </c>
    </row>
    <row r="30" spans="1:10" ht="35.1" thickBot="1">
      <c r="A30" s="19" t="s">
        <v>105</v>
      </c>
      <c r="B30" s="30">
        <v>700</v>
      </c>
      <c r="C30" s="28">
        <v>200</v>
      </c>
      <c r="D30" s="30">
        <v>300</v>
      </c>
      <c r="E30" s="31"/>
      <c r="F30" s="31"/>
      <c r="G30" s="31"/>
      <c r="H30" s="30">
        <f t="shared" si="4"/>
        <v>1200</v>
      </c>
      <c r="I30" s="2"/>
      <c r="J30" s="24" t="s">
        <v>507</v>
      </c>
    </row>
    <row r="31" spans="1:10" ht="23.45" thickBot="1">
      <c r="A31" s="19" t="s">
        <v>106</v>
      </c>
      <c r="B31" s="30">
        <v>1500</v>
      </c>
      <c r="C31" s="28">
        <v>200</v>
      </c>
      <c r="D31" s="30"/>
      <c r="E31" s="31"/>
      <c r="F31" s="31"/>
      <c r="G31" s="31"/>
      <c r="H31" s="30">
        <f t="shared" si="4"/>
        <v>1700</v>
      </c>
      <c r="I31" s="2"/>
      <c r="J31" s="24" t="s">
        <v>508</v>
      </c>
    </row>
    <row r="32" spans="1:10" ht="23.45" thickBot="1">
      <c r="A32" s="19" t="s">
        <v>107</v>
      </c>
      <c r="B32" s="30">
        <v>150</v>
      </c>
      <c r="C32" s="28">
        <v>350</v>
      </c>
      <c r="D32" s="69"/>
      <c r="E32" s="31"/>
      <c r="F32" s="31"/>
      <c r="G32" s="69"/>
      <c r="H32" s="30">
        <f t="shared" si="4"/>
        <v>500</v>
      </c>
      <c r="I32" s="2"/>
      <c r="J32" s="24" t="s">
        <v>509</v>
      </c>
    </row>
    <row r="33" spans="1:21" ht="46.5" thickBot="1">
      <c r="A33" s="19" t="s">
        <v>108</v>
      </c>
      <c r="B33" s="30">
        <v>2000</v>
      </c>
      <c r="C33" s="68"/>
      <c r="D33" s="30">
        <v>1000</v>
      </c>
      <c r="E33" s="31"/>
      <c r="F33" s="68"/>
      <c r="G33" s="31"/>
      <c r="H33" s="30">
        <f t="shared" si="4"/>
        <v>3000</v>
      </c>
      <c r="I33" s="2"/>
      <c r="J33" s="24" t="s">
        <v>510</v>
      </c>
    </row>
    <row r="34" spans="1:21" ht="46.5" thickBot="1">
      <c r="A34" s="19" t="s">
        <v>511</v>
      </c>
      <c r="B34" s="30">
        <v>5000</v>
      </c>
      <c r="C34" s="29">
        <v>6000</v>
      </c>
      <c r="D34" s="29"/>
      <c r="E34" s="31"/>
      <c r="F34" s="31"/>
      <c r="G34" s="31"/>
      <c r="H34" s="29">
        <f t="shared" si="4"/>
        <v>11000</v>
      </c>
      <c r="I34" s="2"/>
      <c r="J34" s="24" t="s">
        <v>512</v>
      </c>
      <c r="K34" s="3" t="s">
        <v>513</v>
      </c>
    </row>
    <row r="35" spans="1:21" ht="35.1" thickBot="1">
      <c r="A35" s="19" t="s">
        <v>111</v>
      </c>
      <c r="B35" s="28"/>
      <c r="C35" s="29"/>
      <c r="D35" s="32"/>
      <c r="E35" s="31"/>
      <c r="F35" s="31"/>
      <c r="G35" s="31"/>
      <c r="H35" s="32">
        <f t="shared" si="4"/>
        <v>0</v>
      </c>
      <c r="I35" s="2"/>
      <c r="J35" s="24" t="s">
        <v>514</v>
      </c>
    </row>
    <row r="36" spans="1:21" ht="81" thickBot="1">
      <c r="A36" s="19" t="s">
        <v>112</v>
      </c>
      <c r="B36" s="28">
        <v>30000</v>
      </c>
      <c r="C36" s="68"/>
      <c r="D36" s="69"/>
      <c r="E36" s="31"/>
      <c r="F36" s="69"/>
      <c r="G36" s="69"/>
      <c r="H36" s="28">
        <f t="shared" si="4"/>
        <v>30000</v>
      </c>
      <c r="I36" s="2"/>
      <c r="J36" s="24" t="s">
        <v>515</v>
      </c>
    </row>
    <row r="37" spans="1:21" ht="15" thickBot="1">
      <c r="A37" s="4" t="s">
        <v>113</v>
      </c>
      <c r="B37" s="53">
        <f>SUM(B27:B36)</f>
        <v>58850</v>
      </c>
      <c r="C37" s="53">
        <f t="shared" ref="C37:H37" si="5">SUM(C27:C36)</f>
        <v>6750</v>
      </c>
      <c r="D37" s="53">
        <f t="shared" si="5"/>
        <v>1300</v>
      </c>
      <c r="E37" s="53">
        <f t="shared" si="5"/>
        <v>0</v>
      </c>
      <c r="F37" s="53">
        <f t="shared" si="5"/>
        <v>0</v>
      </c>
      <c r="G37" s="53">
        <f t="shared" si="5"/>
        <v>0</v>
      </c>
      <c r="H37" s="53">
        <f t="shared" si="5"/>
        <v>66900</v>
      </c>
      <c r="I37" s="52"/>
    </row>
    <row r="38" spans="1:21" ht="15" thickBot="1">
      <c r="A38" s="4" t="s">
        <v>114</v>
      </c>
      <c r="B38" s="53">
        <f>SUM(B37+B25)</f>
        <v>105850</v>
      </c>
      <c r="C38" s="53">
        <f>SUM(C37+C25)</f>
        <v>8750</v>
      </c>
      <c r="D38" s="53">
        <f>SUM(D37+D25)</f>
        <v>1300</v>
      </c>
      <c r="E38" s="53">
        <f t="shared" ref="E38:H38" si="6">SUM(E37+E25)</f>
        <v>0</v>
      </c>
      <c r="F38" s="53">
        <f t="shared" si="6"/>
        <v>0</v>
      </c>
      <c r="G38" s="53">
        <f t="shared" si="6"/>
        <v>0</v>
      </c>
      <c r="H38" s="53">
        <f t="shared" si="6"/>
        <v>115900</v>
      </c>
      <c r="I38" s="52"/>
    </row>
    <row r="39" spans="1:21" ht="15" thickBot="1">
      <c r="A39" s="14" t="s">
        <v>516</v>
      </c>
      <c r="B39" s="53">
        <f>B18-B38</f>
        <v>15150</v>
      </c>
      <c r="C39" s="53">
        <f>C18-C38</f>
        <v>-8750</v>
      </c>
      <c r="D39" s="53">
        <f>D18-D38</f>
        <v>-1300</v>
      </c>
      <c r="E39" s="53">
        <f t="shared" ref="E39:H39" si="7">E18-E38</f>
        <v>0</v>
      </c>
      <c r="F39" s="53">
        <f t="shared" si="7"/>
        <v>0</v>
      </c>
      <c r="G39" s="53">
        <f t="shared" si="7"/>
        <v>0</v>
      </c>
      <c r="H39" s="53">
        <f t="shared" si="7"/>
        <v>5100</v>
      </c>
      <c r="I39" s="559" t="s">
        <v>517</v>
      </c>
    </row>
    <row r="40" spans="1:21" ht="15" thickBot="1">
      <c r="A40" s="14" t="s">
        <v>518</v>
      </c>
      <c r="B40" s="53">
        <f>B39+B13</f>
        <v>15150</v>
      </c>
      <c r="C40" s="53">
        <f>C39+C13</f>
        <v>-8750</v>
      </c>
      <c r="D40" s="53">
        <f>D39+D13</f>
        <v>-1300</v>
      </c>
      <c r="E40" s="53">
        <f t="shared" ref="E40:H40" si="8">E39+E13</f>
        <v>0</v>
      </c>
      <c r="F40" s="53">
        <f t="shared" si="8"/>
        <v>0</v>
      </c>
      <c r="G40" s="53">
        <f t="shared" si="8"/>
        <v>0</v>
      </c>
      <c r="H40" s="53">
        <f t="shared" si="8"/>
        <v>5100</v>
      </c>
      <c r="I40" s="560"/>
    </row>
    <row r="41" spans="1:21">
      <c r="A41" s="7"/>
      <c r="B41" s="7"/>
      <c r="C41" s="7"/>
      <c r="D41" s="7"/>
      <c r="E41" s="7"/>
      <c r="F41" s="7"/>
      <c r="G41" s="7"/>
      <c r="H41" s="7"/>
      <c r="I41" s="7"/>
      <c r="J41" s="7"/>
      <c r="K41" s="7"/>
      <c r="L41" s="7"/>
      <c r="M41" s="6"/>
      <c r="N41" s="7"/>
      <c r="O41" s="7"/>
      <c r="P41" s="7"/>
      <c r="Q41" s="7"/>
      <c r="R41" s="7"/>
      <c r="S41" s="7"/>
      <c r="T41" s="7"/>
      <c r="U41" s="7"/>
    </row>
    <row r="42" spans="1:21">
      <c r="A42" s="35" t="s">
        <v>62</v>
      </c>
      <c r="C42" s="3" t="s">
        <v>519</v>
      </c>
    </row>
  </sheetData>
  <mergeCells count="7">
    <mergeCell ref="B8:D8"/>
    <mergeCell ref="I39:I40"/>
    <mergeCell ref="B10:D10"/>
    <mergeCell ref="E10:G10"/>
    <mergeCell ref="B14:G14"/>
    <mergeCell ref="B19:G19"/>
    <mergeCell ref="B26:G26"/>
  </mergeCells>
  <conditionalFormatting sqref="B36">
    <cfRule type="cellIs" dxfId="5" priority="2" operator="greaterThan">
      <formula>$B$15*15%</formula>
    </cfRule>
  </conditionalFormatting>
  <conditionalFormatting sqref="E36">
    <cfRule type="cellIs" dxfId="4" priority="1" operator="greaterThan">
      <formula>$E$15*15%</formula>
    </cfRule>
  </conditionalFormatting>
  <printOptions horizontalCentered="1" verticalCentered="1"/>
  <pageMargins left="0.23622047244094491" right="0.23622047244094491" top="0.74803149606299213" bottom="0.74803149606299213" header="0.31496062992125984" footer="0.31496062992125984"/>
  <pageSetup paperSize="9" scale="65" orientation="portrait" r:id="rId1"/>
  <headerFooter>
    <oddHeader>&amp;L&amp;"Calibri"&amp;12&amp;K000000 OFFICIAL&amp;1#_x000D_</oddHeader>
  </headerFooter>
  <colBreaks count="1" manualBreakCount="1">
    <brk id="16" max="1048575" man="1"/>
  </colBreaks>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C1E11-7419-4484-9865-D2ADBA61ED5A}">
  <sheetPr codeName="Sheet13"/>
  <dimension ref="A2:J43"/>
  <sheetViews>
    <sheetView workbookViewId="0"/>
  </sheetViews>
  <sheetFormatPr defaultColWidth="9.140625" defaultRowHeight="14.45"/>
  <cols>
    <col min="1" max="1" width="27.5703125" style="3" customWidth="1"/>
    <col min="2" max="2" width="15.7109375" style="3" customWidth="1"/>
    <col min="3" max="3" width="15.5703125" style="3" customWidth="1"/>
    <col min="4" max="4" width="16.140625" style="3" customWidth="1"/>
    <col min="5" max="6" width="16.140625" style="247" customWidth="1"/>
    <col min="7" max="7" width="15.5703125" style="247" customWidth="1"/>
    <col min="8" max="8" width="16.140625" style="247" customWidth="1"/>
    <col min="9" max="9" width="16.140625" style="265" customWidth="1"/>
    <col min="10" max="10" width="32.5703125" style="3" customWidth="1"/>
    <col min="11" max="16384" width="9.140625" style="3"/>
  </cols>
  <sheetData>
    <row r="2" spans="1:10" ht="24.95">
      <c r="A2" s="13"/>
      <c r="B2" s="16" t="s">
        <v>520</v>
      </c>
    </row>
    <row r="4" spans="1:10">
      <c r="B4" s="20" t="s">
        <v>484</v>
      </c>
    </row>
    <row r="5" spans="1:10">
      <c r="B5" s="22" t="s">
        <v>521</v>
      </c>
    </row>
    <row r="6" spans="1:10">
      <c r="B6" s="18" t="s">
        <v>80</v>
      </c>
      <c r="J6" s="20"/>
    </row>
    <row r="7" spans="1:10">
      <c r="B7" s="18" t="s">
        <v>522</v>
      </c>
      <c r="F7" s="247" t="s">
        <v>523</v>
      </c>
      <c r="J7" s="20"/>
    </row>
    <row r="8" spans="1:10">
      <c r="J8" s="20"/>
    </row>
    <row r="9" spans="1:10">
      <c r="A9" s="21" t="s">
        <v>81</v>
      </c>
      <c r="B9" s="558"/>
      <c r="C9" s="558"/>
      <c r="D9" s="558"/>
      <c r="E9" s="248"/>
      <c r="F9" s="248"/>
      <c r="G9" s="248"/>
      <c r="H9" s="248"/>
      <c r="I9" s="266"/>
      <c r="J9" s="442"/>
    </row>
    <row r="10" spans="1:10">
      <c r="J10" s="20"/>
    </row>
    <row r="11" spans="1:10">
      <c r="A11" s="21" t="s">
        <v>119</v>
      </c>
      <c r="B11" s="23" t="s">
        <v>83</v>
      </c>
      <c r="C11" s="20"/>
      <c r="D11" s="20"/>
      <c r="E11" s="249"/>
      <c r="F11" s="249"/>
      <c r="G11" s="249"/>
      <c r="H11" s="249"/>
      <c r="I11" s="267"/>
      <c r="J11" s="20"/>
    </row>
    <row r="12" spans="1:10" ht="15" thickBot="1">
      <c r="B12" s="282"/>
      <c r="C12" s="282"/>
      <c r="D12" s="282"/>
      <c r="E12" s="444"/>
      <c r="F12" s="568"/>
      <c r="G12" s="568"/>
      <c r="H12" s="569" t="s">
        <v>524</v>
      </c>
      <c r="I12" s="569"/>
    </row>
    <row r="13" spans="1:10" ht="26.45">
      <c r="A13" s="5"/>
      <c r="B13" s="17" t="s">
        <v>525</v>
      </c>
      <c r="C13" s="17" t="s">
        <v>526</v>
      </c>
      <c r="D13" s="17" t="s">
        <v>527</v>
      </c>
      <c r="E13" s="250" t="s">
        <v>528</v>
      </c>
      <c r="F13" s="250" t="s">
        <v>529</v>
      </c>
      <c r="G13" s="250" t="s">
        <v>530</v>
      </c>
      <c r="H13" s="250" t="s">
        <v>531</v>
      </c>
      <c r="I13" s="268" t="s">
        <v>532</v>
      </c>
      <c r="J13" s="17" t="s">
        <v>533</v>
      </c>
    </row>
    <row r="14" spans="1:10" ht="15" thickBot="1">
      <c r="A14" s="21" t="s">
        <v>493</v>
      </c>
      <c r="B14" s="26"/>
      <c r="C14" s="27"/>
      <c r="D14" s="27"/>
      <c r="E14" s="251"/>
      <c r="F14" s="251"/>
      <c r="G14" s="251"/>
      <c r="H14" s="251"/>
      <c r="I14" s="269"/>
      <c r="J14" s="8"/>
    </row>
    <row r="15" spans="1:10">
      <c r="A15" s="565" t="s">
        <v>92</v>
      </c>
      <c r="B15" s="566"/>
      <c r="C15" s="566"/>
      <c r="D15" s="566"/>
      <c r="E15" s="566"/>
      <c r="F15" s="566"/>
      <c r="G15" s="566"/>
      <c r="H15" s="566"/>
      <c r="I15" s="566"/>
      <c r="J15" s="566"/>
    </row>
    <row r="16" spans="1:10" ht="15" thickBot="1">
      <c r="A16" s="9" t="s">
        <v>91</v>
      </c>
      <c r="B16" s="43">
        <v>0</v>
      </c>
      <c r="C16" s="43">
        <v>0</v>
      </c>
      <c r="D16" s="43">
        <v>0</v>
      </c>
      <c r="E16" s="260">
        <v>0</v>
      </c>
      <c r="F16" s="260">
        <f>B16+D16</f>
        <v>0</v>
      </c>
      <c r="G16" s="260">
        <f>C16+E16</f>
        <v>0</v>
      </c>
      <c r="H16" s="260">
        <v>0</v>
      </c>
      <c r="I16" s="270">
        <f>IFERROR((C16/#REF!),0)</f>
        <v>0</v>
      </c>
      <c r="J16" s="25"/>
    </row>
    <row r="17" spans="1:10" ht="15" thickBot="1">
      <c r="A17" s="9" t="s">
        <v>93</v>
      </c>
      <c r="B17" s="43">
        <f>'(2) Biannual Actuals'!B16+'(2) Biannual Actuals'!E16</f>
        <v>0</v>
      </c>
      <c r="C17" s="43">
        <f>'(2) Biannual Actuals'!C16+'(2) Biannual Actuals'!F16</f>
        <v>0</v>
      </c>
      <c r="D17" s="43">
        <f>'(2) Biannual Actuals'!D16+'(2) Biannual Actuals'!G16</f>
        <v>0</v>
      </c>
      <c r="E17" s="260">
        <f>'S3.1. FY26-27 Budget'!B13</f>
        <v>0</v>
      </c>
      <c r="F17" s="260">
        <f>B17+D17</f>
        <v>0</v>
      </c>
      <c r="G17" s="260">
        <f>C17+E17</f>
        <v>0</v>
      </c>
      <c r="H17" s="260">
        <f>'S3.1. FY26-27 Budget'!E13</f>
        <v>0</v>
      </c>
      <c r="I17" s="270">
        <f>IFERROR((C17/#REF!),0)</f>
        <v>0</v>
      </c>
      <c r="J17" s="10"/>
    </row>
    <row r="18" spans="1:10" ht="15" thickBot="1">
      <c r="A18" s="11" t="s">
        <v>94</v>
      </c>
      <c r="B18" s="42">
        <f>SUM(B16:B17)</f>
        <v>0</v>
      </c>
      <c r="C18" s="42">
        <f t="shared" ref="C18:G18" si="0">SUM(C16:C17)</f>
        <v>0</v>
      </c>
      <c r="D18" s="42">
        <f t="shared" si="0"/>
        <v>0</v>
      </c>
      <c r="E18" s="42">
        <f t="shared" si="0"/>
        <v>0</v>
      </c>
      <c r="F18" s="42">
        <f t="shared" si="0"/>
        <v>0</v>
      </c>
      <c r="G18" s="42">
        <f t="shared" si="0"/>
        <v>0</v>
      </c>
      <c r="H18" s="252">
        <f>IFERROR((B18/E18),0)</f>
        <v>0</v>
      </c>
      <c r="I18" s="271">
        <f>IFERROR((C18/#REF!),0)</f>
        <v>0</v>
      </c>
      <c r="J18" s="10"/>
    </row>
    <row r="19" spans="1:10" ht="30.75" customHeight="1">
      <c r="A19" s="565" t="s">
        <v>534</v>
      </c>
      <c r="B19" s="566"/>
      <c r="C19" s="566"/>
      <c r="D19" s="566"/>
      <c r="E19" s="566"/>
      <c r="F19" s="261"/>
      <c r="G19" s="261"/>
      <c r="H19" s="253"/>
      <c r="I19" s="272"/>
      <c r="J19" s="39"/>
    </row>
    <row r="20" spans="1:10" ht="15" thickBot="1">
      <c r="A20" s="9" t="s">
        <v>97</v>
      </c>
      <c r="B20" s="28">
        <v>0</v>
      </c>
      <c r="C20" s="28">
        <f>'(2) Biannual Actuals'!C20+'(2) Biannual Actuals'!F20</f>
        <v>0</v>
      </c>
      <c r="D20" s="28">
        <f>'(2) Biannual Actuals'!D20+'(2) Biannual Actuals'!G20</f>
        <v>0</v>
      </c>
      <c r="E20" s="254">
        <f>'S3.1. FY26-27 Budget'!B16</f>
        <v>0</v>
      </c>
      <c r="F20" s="254">
        <f>B20+D20</f>
        <v>0</v>
      </c>
      <c r="G20" s="254">
        <f>C20+E20</f>
        <v>0</v>
      </c>
      <c r="H20" s="254">
        <f t="shared" ref="H20:H25" si="1">IFERROR((B20/E20),0)</f>
        <v>0</v>
      </c>
      <c r="I20" s="273">
        <f>IFERROR((C20/#REF!),0)</f>
        <v>0</v>
      </c>
      <c r="J20" s="10"/>
    </row>
    <row r="21" spans="1:10" ht="15" thickBot="1">
      <c r="A21" s="9" t="s">
        <v>98</v>
      </c>
      <c r="B21" s="28">
        <v>0</v>
      </c>
      <c r="C21" s="28">
        <f>'(2) Biannual Actuals'!C21+'(2) Biannual Actuals'!F21</f>
        <v>0</v>
      </c>
      <c r="D21" s="28">
        <f>'(2) Biannual Actuals'!D21+'(2) Biannual Actuals'!G21</f>
        <v>0</v>
      </c>
      <c r="E21" s="254">
        <f>'S3.1. FY26-27 Budget'!B17</f>
        <v>0</v>
      </c>
      <c r="F21" s="254">
        <f t="shared" ref="F21:F24" si="2">B21+D21</f>
        <v>0</v>
      </c>
      <c r="G21" s="254">
        <f t="shared" ref="G21:G24" si="3">C21+E21</f>
        <v>0</v>
      </c>
      <c r="H21" s="254">
        <f t="shared" si="1"/>
        <v>0</v>
      </c>
      <c r="I21" s="273">
        <f>IFERROR((C21/#REF!),0)</f>
        <v>0</v>
      </c>
      <c r="J21" s="10"/>
    </row>
    <row r="22" spans="1:10" ht="15" thickBot="1">
      <c r="A22" s="9" t="s">
        <v>99</v>
      </c>
      <c r="B22" s="28">
        <v>0</v>
      </c>
      <c r="C22" s="28">
        <v>0</v>
      </c>
      <c r="D22" s="28">
        <f>'(2) Biannual Actuals'!D22+'(2) Biannual Actuals'!G22</f>
        <v>0</v>
      </c>
      <c r="E22" s="254">
        <f>'S3.1. FY26-27 Budget'!B18</f>
        <v>0</v>
      </c>
      <c r="F22" s="254">
        <f t="shared" si="2"/>
        <v>0</v>
      </c>
      <c r="G22" s="254">
        <f t="shared" si="3"/>
        <v>0</v>
      </c>
      <c r="H22" s="254">
        <f t="shared" si="1"/>
        <v>0</v>
      </c>
      <c r="I22" s="273">
        <f>IFERROR((C22/#REF!),0)</f>
        <v>0</v>
      </c>
      <c r="J22" s="10"/>
    </row>
    <row r="23" spans="1:10" ht="15" thickBot="1">
      <c r="A23" s="9" t="s">
        <v>500</v>
      </c>
      <c r="B23" s="28">
        <f>'(2) Biannual Actuals'!B23+'(2) Biannual Actuals'!E23</f>
        <v>0</v>
      </c>
      <c r="C23" s="28">
        <f>'(2) Biannual Actuals'!C23+'(2) Biannual Actuals'!F23</f>
        <v>0</v>
      </c>
      <c r="D23" s="28">
        <f>'(2) Biannual Actuals'!D23+'(2) Biannual Actuals'!G23</f>
        <v>0</v>
      </c>
      <c r="E23" s="254">
        <v>0</v>
      </c>
      <c r="F23" s="254">
        <f t="shared" si="2"/>
        <v>0</v>
      </c>
      <c r="G23" s="254">
        <f t="shared" si="3"/>
        <v>0</v>
      </c>
      <c r="H23" s="254">
        <f t="shared" si="1"/>
        <v>0</v>
      </c>
      <c r="I23" s="273">
        <f>IFERROR((C23/#REF!),0)</f>
        <v>0</v>
      </c>
      <c r="J23" s="10"/>
    </row>
    <row r="24" spans="1:10" ht="15" thickBot="1">
      <c r="A24" s="9" t="s">
        <v>100</v>
      </c>
      <c r="B24" s="28">
        <f>'(2) Biannual Actuals'!B24+'(2) Biannual Actuals'!E24</f>
        <v>0</v>
      </c>
      <c r="C24" s="28">
        <f>'(2) Biannual Actuals'!C24+'(2) Biannual Actuals'!F24</f>
        <v>0</v>
      </c>
      <c r="D24" s="28">
        <f>'(2) Biannual Actuals'!D24+'(2) Biannual Actuals'!G24</f>
        <v>0</v>
      </c>
      <c r="E24" s="254">
        <f>'S3.1. FY26-27 Budget'!B19</f>
        <v>0</v>
      </c>
      <c r="F24" s="254">
        <f t="shared" si="2"/>
        <v>0</v>
      </c>
      <c r="G24" s="254">
        <f t="shared" si="3"/>
        <v>0</v>
      </c>
      <c r="H24" s="254">
        <f t="shared" si="1"/>
        <v>0</v>
      </c>
      <c r="I24" s="273">
        <f>IFERROR((C24/#REF!),0)</f>
        <v>0</v>
      </c>
      <c r="J24" s="10"/>
    </row>
    <row r="25" spans="1:10">
      <c r="A25" s="11" t="s">
        <v>101</v>
      </c>
      <c r="B25" s="44">
        <f>SUM(B20:B24)</f>
        <v>0</v>
      </c>
      <c r="C25" s="44">
        <f t="shared" ref="C25:G25" si="4">SUM(C20:C24)</f>
        <v>0</v>
      </c>
      <c r="D25" s="44">
        <f t="shared" si="4"/>
        <v>0</v>
      </c>
      <c r="E25" s="262">
        <f t="shared" si="4"/>
        <v>0</v>
      </c>
      <c r="F25" s="262">
        <f t="shared" si="4"/>
        <v>0</v>
      </c>
      <c r="G25" s="262">
        <f t="shared" si="4"/>
        <v>0</v>
      </c>
      <c r="H25" s="255">
        <f t="shared" si="1"/>
        <v>0</v>
      </c>
      <c r="I25" s="274">
        <f>IFERROR((C25/#REF!),0)</f>
        <v>0</v>
      </c>
      <c r="J25" s="12"/>
    </row>
    <row r="26" spans="1:10" ht="35.25" customHeight="1" thickBot="1">
      <c r="A26" s="567" t="s">
        <v>535</v>
      </c>
      <c r="B26" s="567"/>
      <c r="C26" s="567"/>
      <c r="D26" s="567"/>
      <c r="E26" s="567"/>
      <c r="F26" s="263"/>
      <c r="G26" s="263"/>
      <c r="H26" s="253"/>
      <c r="I26" s="272"/>
      <c r="J26" s="39"/>
    </row>
    <row r="27" spans="1:10" ht="15" thickBot="1">
      <c r="A27" s="19" t="s">
        <v>103</v>
      </c>
      <c r="B27" s="29">
        <v>0</v>
      </c>
      <c r="C27" s="29">
        <v>0</v>
      </c>
      <c r="D27" s="29">
        <v>0</v>
      </c>
      <c r="E27" s="29">
        <v>0</v>
      </c>
      <c r="F27" s="29">
        <v>0</v>
      </c>
      <c r="G27" s="29">
        <v>0</v>
      </c>
      <c r="H27" s="254">
        <f>IFERROR((B27/E27),0)</f>
        <v>0</v>
      </c>
      <c r="I27" s="275">
        <f>IFERROR((C27/F27),0)</f>
        <v>0</v>
      </c>
      <c r="J27" s="2"/>
    </row>
    <row r="28" spans="1:10" ht="21.95" thickBot="1">
      <c r="A28" s="19" t="s">
        <v>503</v>
      </c>
      <c r="B28" s="29">
        <v>0</v>
      </c>
      <c r="C28" s="29">
        <v>0</v>
      </c>
      <c r="D28" s="29">
        <v>0</v>
      </c>
      <c r="E28" s="29">
        <v>0</v>
      </c>
      <c r="F28" s="29">
        <v>0</v>
      </c>
      <c r="G28" s="29">
        <v>0</v>
      </c>
      <c r="H28" s="254">
        <f>IFERROR((B28/E28),0)</f>
        <v>0</v>
      </c>
      <c r="I28" s="275">
        <f>IFERROR((C28/F28),0)</f>
        <v>0</v>
      </c>
      <c r="J28" s="2"/>
    </row>
    <row r="29" spans="1:10" ht="15" thickBot="1">
      <c r="A29" s="19" t="s">
        <v>505</v>
      </c>
      <c r="B29" s="29">
        <v>0</v>
      </c>
      <c r="C29" s="29">
        <v>0</v>
      </c>
      <c r="D29" s="29">
        <v>0</v>
      </c>
      <c r="E29" s="29">
        <v>0</v>
      </c>
      <c r="F29" s="29">
        <v>0</v>
      </c>
      <c r="G29" s="29">
        <v>0</v>
      </c>
      <c r="H29" s="254">
        <f t="shared" ref="H29:H40" si="5">IFERROR((B29/E29),0)</f>
        <v>0</v>
      </c>
      <c r="I29" s="273">
        <f>IFERROR((C29/#REF!),0)</f>
        <v>0</v>
      </c>
      <c r="J29" s="2"/>
    </row>
    <row r="30" spans="1:10" ht="15" thickBot="1">
      <c r="A30" s="19" t="s">
        <v>105</v>
      </c>
      <c r="B30" s="29">
        <v>0</v>
      </c>
      <c r="C30" s="29">
        <v>0</v>
      </c>
      <c r="D30" s="29">
        <v>0</v>
      </c>
      <c r="E30" s="29">
        <v>0</v>
      </c>
      <c r="F30" s="29">
        <v>0</v>
      </c>
      <c r="G30" s="29">
        <v>0</v>
      </c>
      <c r="H30" s="256">
        <f t="shared" si="5"/>
        <v>0</v>
      </c>
      <c r="I30" s="276">
        <f>IFERROR((C30/#REF!),0)</f>
        <v>0</v>
      </c>
      <c r="J30" s="2"/>
    </row>
    <row r="31" spans="1:10" ht="15" thickBot="1">
      <c r="A31" s="19" t="s">
        <v>106</v>
      </c>
      <c r="B31" s="29">
        <v>0</v>
      </c>
      <c r="C31" s="29">
        <v>0</v>
      </c>
      <c r="D31" s="29">
        <v>0</v>
      </c>
      <c r="E31" s="29">
        <v>0</v>
      </c>
      <c r="F31" s="29">
        <v>0</v>
      </c>
      <c r="G31" s="29">
        <v>0</v>
      </c>
      <c r="H31" s="256">
        <f t="shared" si="5"/>
        <v>0</v>
      </c>
      <c r="I31" s="276">
        <f>IFERROR((C31/#REF!),0)</f>
        <v>0</v>
      </c>
      <c r="J31" s="2"/>
    </row>
    <row r="32" spans="1:10" ht="15" thickBot="1">
      <c r="A32" s="19" t="s">
        <v>107</v>
      </c>
      <c r="B32" s="29">
        <v>0</v>
      </c>
      <c r="C32" s="29">
        <v>0</v>
      </c>
      <c r="D32" s="29">
        <v>0</v>
      </c>
      <c r="E32" s="29">
        <v>0</v>
      </c>
      <c r="F32" s="29">
        <v>0</v>
      </c>
      <c r="G32" s="29">
        <v>0</v>
      </c>
      <c r="H32" s="256">
        <f t="shared" si="5"/>
        <v>0</v>
      </c>
      <c r="I32" s="276">
        <f>IFERROR((C32/#REF!),0)</f>
        <v>0</v>
      </c>
      <c r="J32" s="2"/>
    </row>
    <row r="33" spans="1:10" ht="15" thickBot="1">
      <c r="A33" s="19" t="s">
        <v>108</v>
      </c>
      <c r="B33" s="29">
        <v>0</v>
      </c>
      <c r="C33" s="29">
        <v>0</v>
      </c>
      <c r="D33" s="29">
        <v>0</v>
      </c>
      <c r="E33" s="29">
        <v>0</v>
      </c>
      <c r="F33" s="29">
        <v>0</v>
      </c>
      <c r="G33" s="29">
        <v>0</v>
      </c>
      <c r="H33" s="256">
        <f t="shared" si="5"/>
        <v>0</v>
      </c>
      <c r="I33" s="277">
        <f>IFERROR((C33/F33),0)</f>
        <v>0</v>
      </c>
      <c r="J33" s="2"/>
    </row>
    <row r="34" spans="1:10" ht="15" thickBot="1">
      <c r="A34" s="19" t="s">
        <v>511</v>
      </c>
      <c r="B34" s="29">
        <v>0</v>
      </c>
      <c r="C34" s="29">
        <v>0</v>
      </c>
      <c r="D34" s="29">
        <v>0</v>
      </c>
      <c r="E34" s="29">
        <v>0</v>
      </c>
      <c r="F34" s="29">
        <v>0</v>
      </c>
      <c r="G34" s="29">
        <v>0</v>
      </c>
      <c r="H34" s="254">
        <f t="shared" si="5"/>
        <v>0</v>
      </c>
      <c r="I34" s="273">
        <f>IFERROR((C34/#REF!),0)</f>
        <v>0</v>
      </c>
      <c r="J34" s="2"/>
    </row>
    <row r="35" spans="1:10" ht="15" thickBot="1">
      <c r="A35" s="19" t="s">
        <v>111</v>
      </c>
      <c r="B35" s="29">
        <v>0</v>
      </c>
      <c r="C35" s="29">
        <v>0</v>
      </c>
      <c r="D35" s="29">
        <v>0</v>
      </c>
      <c r="E35" s="29">
        <v>0</v>
      </c>
      <c r="F35" s="29">
        <v>0</v>
      </c>
      <c r="G35" s="29">
        <v>0</v>
      </c>
      <c r="H35" s="257">
        <f t="shared" si="5"/>
        <v>0</v>
      </c>
      <c r="I35" s="278">
        <f>IFERROR((C35/#REF!),0)</f>
        <v>0</v>
      </c>
      <c r="J35" s="2"/>
    </row>
    <row r="36" spans="1:10" ht="15" thickBot="1">
      <c r="A36" s="19" t="s">
        <v>112</v>
      </c>
      <c r="B36" s="29">
        <v>0</v>
      </c>
      <c r="C36" s="29">
        <v>0</v>
      </c>
      <c r="D36" s="29">
        <v>0</v>
      </c>
      <c r="E36" s="29">
        <v>0</v>
      </c>
      <c r="F36" s="29">
        <v>0</v>
      </c>
      <c r="G36" s="29">
        <v>0</v>
      </c>
      <c r="H36" s="257">
        <f t="shared" si="5"/>
        <v>0</v>
      </c>
      <c r="I36" s="279">
        <f>IFERROR((C36/F36),0)</f>
        <v>0</v>
      </c>
      <c r="J36" s="2"/>
    </row>
    <row r="37" spans="1:10" ht="15" thickBot="1">
      <c r="A37" s="4" t="s">
        <v>113</v>
      </c>
      <c r="B37" s="45">
        <f>SUM(B27:B36)</f>
        <v>0</v>
      </c>
      <c r="C37" s="45">
        <f t="shared" ref="C37:G37" si="6">SUM(C27:C36)</f>
        <v>0</v>
      </c>
      <c r="D37" s="45">
        <f t="shared" si="6"/>
        <v>0</v>
      </c>
      <c r="E37" s="264">
        <f t="shared" si="6"/>
        <v>0</v>
      </c>
      <c r="F37" s="264">
        <f t="shared" si="6"/>
        <v>0</v>
      </c>
      <c r="G37" s="264">
        <f t="shared" si="6"/>
        <v>0</v>
      </c>
      <c r="H37" s="258">
        <f t="shared" si="5"/>
        <v>0</v>
      </c>
      <c r="I37" s="280">
        <f>IFERROR((C37/#REF!),0)</f>
        <v>0</v>
      </c>
      <c r="J37" s="1"/>
    </row>
    <row r="38" spans="1:10" ht="15" thickBot="1">
      <c r="A38" s="4" t="s">
        <v>114</v>
      </c>
      <c r="B38" s="45">
        <f>SUM(B37+B25)</f>
        <v>0</v>
      </c>
      <c r="C38" s="45">
        <f t="shared" ref="C38:G38" si="7">SUM(C37+C25)</f>
        <v>0</v>
      </c>
      <c r="D38" s="45">
        <f t="shared" si="7"/>
        <v>0</v>
      </c>
      <c r="E38" s="264">
        <f t="shared" si="7"/>
        <v>0</v>
      </c>
      <c r="F38" s="264">
        <f t="shared" si="7"/>
        <v>0</v>
      </c>
      <c r="G38" s="264">
        <f t="shared" si="7"/>
        <v>0</v>
      </c>
      <c r="H38" s="258">
        <f t="shared" si="5"/>
        <v>0</v>
      </c>
      <c r="I38" s="280">
        <f>IFERROR((C38/#REF!),0)</f>
        <v>0</v>
      </c>
      <c r="J38" s="1"/>
    </row>
    <row r="39" spans="1:10" ht="15" thickBot="1">
      <c r="A39" s="14" t="s">
        <v>516</v>
      </c>
      <c r="B39" s="45">
        <f>B18-B38</f>
        <v>0</v>
      </c>
      <c r="C39" s="45">
        <f t="shared" ref="C39:D39" si="8">C18-C38</f>
        <v>0</v>
      </c>
      <c r="D39" s="45">
        <f t="shared" si="8"/>
        <v>0</v>
      </c>
      <c r="E39" s="264">
        <f>E18-E38</f>
        <v>0</v>
      </c>
      <c r="F39" s="264">
        <f t="shared" ref="F39:G39" si="9">F18-F38</f>
        <v>0</v>
      </c>
      <c r="G39" s="264">
        <f t="shared" si="9"/>
        <v>0</v>
      </c>
      <c r="H39" s="258">
        <f t="shared" si="5"/>
        <v>0</v>
      </c>
      <c r="I39" s="280">
        <f>IFERROR((C39/#REF!),0)</f>
        <v>0</v>
      </c>
      <c r="J39" s="1"/>
    </row>
    <row r="40" spans="1:10" ht="15" thickBot="1">
      <c r="A40" s="14" t="s">
        <v>518</v>
      </c>
      <c r="B40" s="45">
        <f>B39+B14</f>
        <v>0</v>
      </c>
      <c r="C40" s="45">
        <f>C39+C14</f>
        <v>0</v>
      </c>
      <c r="D40" s="45">
        <f>D39+D14</f>
        <v>0</v>
      </c>
      <c r="E40" s="264">
        <f>E39+E14</f>
        <v>0</v>
      </c>
      <c r="F40" s="264">
        <f t="shared" ref="F40:G40" si="10">F39+F14</f>
        <v>0</v>
      </c>
      <c r="G40" s="264">
        <f t="shared" si="10"/>
        <v>0</v>
      </c>
      <c r="H40" s="258">
        <f t="shared" si="5"/>
        <v>0</v>
      </c>
      <c r="I40" s="280">
        <f>IFERROR((C40/#REF!),0)</f>
        <v>0</v>
      </c>
      <c r="J40" s="1"/>
    </row>
    <row r="41" spans="1:10">
      <c r="A41" s="7"/>
      <c r="B41" s="7"/>
      <c r="C41" s="7"/>
      <c r="D41" s="7"/>
      <c r="E41" s="259"/>
      <c r="F41" s="259"/>
      <c r="G41" s="259"/>
      <c r="H41" s="259"/>
      <c r="I41" s="281"/>
      <c r="J41" s="7"/>
    </row>
    <row r="43" spans="1:10">
      <c r="A43" s="35" t="s">
        <v>62</v>
      </c>
      <c r="C43" s="3" t="s">
        <v>519</v>
      </c>
    </row>
  </sheetData>
  <mergeCells count="6">
    <mergeCell ref="B9:D9"/>
    <mergeCell ref="A15:J15"/>
    <mergeCell ref="A19:E19"/>
    <mergeCell ref="A26:E26"/>
    <mergeCell ref="F12:G12"/>
    <mergeCell ref="H12:I12"/>
  </mergeCells>
  <conditionalFormatting sqref="F20:G24">
    <cfRule type="cellIs" dxfId="3" priority="58" operator="lessThan">
      <formula>0</formula>
    </cfRule>
    <cfRule type="cellIs" dxfId="2" priority="59" operator="greaterThan">
      <formula>#REF!*60%</formula>
    </cfRule>
  </conditionalFormatting>
  <conditionalFormatting sqref="G16:G17">
    <cfRule type="cellIs" dxfId="1" priority="66" operator="lessThan">
      <formula>0</formula>
    </cfRule>
    <cfRule type="cellIs" dxfId="0" priority="67" operator="greaterThan">
      <formula>#REF!*50%</formula>
    </cfRule>
  </conditionalFormatting>
  <printOptions horizontalCentered="1" verticalCentered="1"/>
  <pageMargins left="0.23622047244094491" right="0.23622047244094491" top="0.74803149606299213" bottom="0.74803149606299213" header="0.31496062992125984" footer="0.31496062992125984"/>
  <pageSetup paperSize="9" scale="65" orientation="portrait" r:id="rId1"/>
  <headerFooter>
    <oddHeader>&amp;L&amp;"Calibri"&amp;12&amp;K000000 OFFICIAL&amp;1#_x000D_</oddHeader>
  </headerFooter>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8C542-67E0-409B-B48B-36B11A17E2A0}">
  <sheetPr codeName="Sheet14"/>
  <dimension ref="A2:H72"/>
  <sheetViews>
    <sheetView workbookViewId="0"/>
  </sheetViews>
  <sheetFormatPr defaultColWidth="9.140625" defaultRowHeight="14.45"/>
  <cols>
    <col min="1" max="1" width="27.5703125" style="3" customWidth="1"/>
    <col min="2" max="2" width="15.7109375" style="3" customWidth="1"/>
    <col min="3" max="3" width="16.42578125" style="3" customWidth="1"/>
    <col min="4" max="7" width="16.140625" style="3" customWidth="1"/>
    <col min="8" max="8" width="12.28515625" style="3" customWidth="1"/>
    <col min="9" max="16384" width="9.140625" style="3"/>
  </cols>
  <sheetData>
    <row r="2" spans="1:8" ht="24.6">
      <c r="A2" s="13"/>
      <c r="B2" s="108" t="s">
        <v>520</v>
      </c>
    </row>
    <row r="4" spans="1:8">
      <c r="B4" s="20" t="s">
        <v>484</v>
      </c>
    </row>
    <row r="5" spans="1:8">
      <c r="B5" s="22" t="s">
        <v>521</v>
      </c>
    </row>
    <row r="6" spans="1:8">
      <c r="B6" s="18" t="s">
        <v>80</v>
      </c>
      <c r="G6" s="41"/>
    </row>
    <row r="7" spans="1:8">
      <c r="B7" s="18" t="s">
        <v>522</v>
      </c>
    </row>
    <row r="9" spans="1:8">
      <c r="A9" s="21" t="s">
        <v>81</v>
      </c>
      <c r="B9" s="76"/>
      <c r="C9" s="76"/>
      <c r="D9" s="76"/>
      <c r="E9" s="442"/>
      <c r="F9" s="442"/>
      <c r="G9" s="442"/>
      <c r="H9" s="442"/>
    </row>
    <row r="10" spans="1:8">
      <c r="A10" s="21" t="s">
        <v>536</v>
      </c>
      <c r="B10" s="76"/>
      <c r="C10" s="76"/>
      <c r="D10" s="76"/>
      <c r="E10" s="442"/>
      <c r="F10" s="442"/>
      <c r="G10" s="442"/>
      <c r="H10" s="442"/>
    </row>
    <row r="11" spans="1:8">
      <c r="A11" s="21" t="s">
        <v>119</v>
      </c>
      <c r="B11" s="23" t="s">
        <v>83</v>
      </c>
      <c r="C11" s="20"/>
      <c r="D11" s="20"/>
      <c r="E11" s="20"/>
      <c r="F11" s="20"/>
      <c r="G11" s="20"/>
    </row>
    <row r="12" spans="1:8">
      <c r="A12" s="21"/>
      <c r="B12" s="23"/>
      <c r="C12" s="20"/>
      <c r="D12" s="20"/>
      <c r="E12" s="20"/>
      <c r="F12" s="20"/>
      <c r="G12" s="20"/>
    </row>
    <row r="13" spans="1:8">
      <c r="A13" s="21"/>
      <c r="B13" s="23"/>
      <c r="C13" s="20"/>
      <c r="D13" s="20"/>
      <c r="E13" s="20"/>
      <c r="F13" s="20"/>
      <c r="G13" s="20"/>
    </row>
    <row r="14" spans="1:8">
      <c r="A14" s="21"/>
      <c r="B14" s="575" t="s">
        <v>537</v>
      </c>
      <c r="C14" s="575"/>
      <c r="D14" s="575"/>
      <c r="E14" s="20"/>
      <c r="F14" s="20"/>
      <c r="G14" s="20"/>
    </row>
    <row r="15" spans="1:8" ht="26.1">
      <c r="A15" s="77"/>
      <c r="B15" s="98" t="s">
        <v>121</v>
      </c>
      <c r="C15" s="98" t="s">
        <v>489</v>
      </c>
      <c r="D15" s="445" t="s">
        <v>490</v>
      </c>
      <c r="E15" s="572" t="s">
        <v>492</v>
      </c>
      <c r="F15" s="573"/>
      <c r="G15" s="573"/>
      <c r="H15" s="574"/>
    </row>
    <row r="16" spans="1:8" ht="15" thickBot="1">
      <c r="A16" s="78" t="s">
        <v>493</v>
      </c>
      <c r="B16" s="26">
        <f>'Annual Financials  '!B14</f>
        <v>0</v>
      </c>
      <c r="C16" s="26">
        <f>'Annual Financials  '!C14</f>
        <v>0</v>
      </c>
      <c r="D16" s="79">
        <f>'Annual Financials  '!D14</f>
        <v>0</v>
      </c>
      <c r="E16" s="99" t="s">
        <v>538</v>
      </c>
      <c r="F16" s="20"/>
      <c r="G16" s="20"/>
      <c r="H16" s="100"/>
    </row>
    <row r="17" spans="1:8" ht="15" thickBot="1">
      <c r="A17" s="80" t="s">
        <v>539</v>
      </c>
      <c r="B17" s="45"/>
      <c r="C17" s="45">
        <f>'Annual Financials  '!C18</f>
        <v>0</v>
      </c>
      <c r="D17" s="81">
        <f>'Annual Financials  '!D18</f>
        <v>0</v>
      </c>
      <c r="E17" s="99" t="s">
        <v>540</v>
      </c>
      <c r="F17" s="20"/>
      <c r="G17" s="20"/>
      <c r="H17" s="100"/>
    </row>
    <row r="18" spans="1:8" ht="15" customHeight="1" thickBot="1">
      <c r="A18" s="80" t="s">
        <v>114</v>
      </c>
      <c r="B18" s="45"/>
      <c r="C18" s="45"/>
      <c r="D18" s="81"/>
      <c r="E18" s="99" t="s">
        <v>541</v>
      </c>
      <c r="F18" s="20"/>
      <c r="G18" s="20"/>
      <c r="H18" s="100"/>
    </row>
    <row r="19" spans="1:8">
      <c r="A19" s="80"/>
      <c r="B19" s="23"/>
      <c r="C19" s="20"/>
      <c r="D19" s="82"/>
      <c r="E19" s="99"/>
      <c r="F19" s="20"/>
      <c r="G19" s="20"/>
      <c r="H19" s="100"/>
    </row>
    <row r="20" spans="1:8">
      <c r="A20" s="83" t="s">
        <v>542</v>
      </c>
      <c r="B20" s="84">
        <f>IF((B16+B17-B18)&gt;0,(B16+B17-B18),0)</f>
        <v>0</v>
      </c>
      <c r="C20" s="84">
        <f t="shared" ref="C20:D20" si="0">IF((C16+C17-C18)&gt;0,(C16+C17-C18),0)</f>
        <v>0</v>
      </c>
      <c r="D20" s="85">
        <f t="shared" si="0"/>
        <v>0</v>
      </c>
      <c r="E20" s="101" t="s">
        <v>543</v>
      </c>
      <c r="F20" s="102"/>
      <c r="G20" s="102"/>
      <c r="H20" s="103"/>
    </row>
    <row r="21" spans="1:8">
      <c r="A21" s="21"/>
      <c r="B21" s="23"/>
      <c r="C21" s="20"/>
      <c r="D21" s="20"/>
      <c r="E21" s="20"/>
      <c r="F21" s="20"/>
      <c r="G21" s="20"/>
    </row>
    <row r="22" spans="1:8">
      <c r="A22" s="21"/>
      <c r="B22" s="23"/>
      <c r="C22" s="20"/>
      <c r="D22" s="20"/>
      <c r="E22" s="20"/>
      <c r="F22" s="20"/>
      <c r="G22" s="20"/>
    </row>
    <row r="23" spans="1:8" ht="15" customHeight="1">
      <c r="A23" s="104" t="s">
        <v>544</v>
      </c>
      <c r="B23" s="105" t="e">
        <f>'Annual Financials  '!#REF!</f>
        <v>#REF!</v>
      </c>
      <c r="C23" s="84" t="e">
        <f>'Annual Financials  '!#REF!</f>
        <v>#REF!</v>
      </c>
      <c r="D23" s="84" t="e">
        <f>'Annual Financials  '!#REF!</f>
        <v>#REF!</v>
      </c>
      <c r="E23" s="106" t="s">
        <v>545</v>
      </c>
      <c r="F23" s="106"/>
      <c r="G23" s="106"/>
      <c r="H23" s="107"/>
    </row>
    <row r="24" spans="1:8">
      <c r="A24" s="21"/>
      <c r="B24" s="23"/>
      <c r="C24" s="20"/>
      <c r="D24" s="20"/>
      <c r="E24" s="20"/>
      <c r="F24" s="20"/>
      <c r="G24" s="20"/>
    </row>
    <row r="25" spans="1:8">
      <c r="A25" s="21"/>
      <c r="B25" s="23"/>
      <c r="C25" s="20"/>
      <c r="D25" s="20"/>
      <c r="E25" s="20"/>
      <c r="F25" s="20"/>
      <c r="G25" s="20"/>
    </row>
    <row r="26" spans="1:8">
      <c r="A26" s="21"/>
      <c r="B26" s="23"/>
      <c r="C26" s="20"/>
      <c r="D26" s="20"/>
      <c r="E26" s="20"/>
      <c r="F26" s="20"/>
      <c r="G26" s="20"/>
    </row>
    <row r="27" spans="1:8">
      <c r="A27" s="21" t="s">
        <v>546</v>
      </c>
      <c r="B27" s="23"/>
      <c r="C27" s="20"/>
      <c r="D27" s="20"/>
      <c r="E27" s="20"/>
      <c r="F27" s="20"/>
      <c r="G27" s="20"/>
    </row>
    <row r="28" spans="1:8">
      <c r="A28" s="576" t="s">
        <v>547</v>
      </c>
      <c r="B28" s="576"/>
      <c r="C28" s="576"/>
      <c r="D28" s="576"/>
      <c r="E28" s="20"/>
      <c r="F28" s="20"/>
      <c r="G28" s="20"/>
    </row>
    <row r="29" spans="1:8">
      <c r="A29" s="571"/>
      <c r="B29" s="571"/>
      <c r="C29" s="571"/>
      <c r="D29" s="571"/>
      <c r="E29" s="571"/>
      <c r="F29" s="571"/>
      <c r="G29" s="571"/>
      <c r="H29" s="571"/>
    </row>
    <row r="30" spans="1:8" ht="15" customHeight="1">
      <c r="A30" s="571"/>
      <c r="B30" s="571"/>
      <c r="C30" s="571"/>
      <c r="D30" s="571"/>
      <c r="E30" s="571"/>
      <c r="F30" s="571"/>
      <c r="G30" s="571"/>
      <c r="H30" s="571"/>
    </row>
    <row r="31" spans="1:8">
      <c r="A31" s="571"/>
      <c r="B31" s="571"/>
      <c r="C31" s="571"/>
      <c r="D31" s="571"/>
      <c r="E31" s="571"/>
      <c r="F31" s="571"/>
      <c r="G31" s="571"/>
      <c r="H31" s="571"/>
    </row>
    <row r="32" spans="1:8">
      <c r="A32" s="571"/>
      <c r="B32" s="571"/>
      <c r="C32" s="571"/>
      <c r="D32" s="571"/>
      <c r="E32" s="571"/>
      <c r="F32" s="571"/>
      <c r="G32" s="571"/>
      <c r="H32" s="571"/>
    </row>
    <row r="33" spans="1:8">
      <c r="A33" s="571"/>
      <c r="B33" s="571"/>
      <c r="C33" s="571"/>
      <c r="D33" s="571"/>
      <c r="E33" s="571"/>
      <c r="F33" s="571"/>
      <c r="G33" s="571"/>
      <c r="H33" s="571"/>
    </row>
    <row r="34" spans="1:8">
      <c r="A34" s="571"/>
      <c r="B34" s="571"/>
      <c r="C34" s="571"/>
      <c r="D34" s="571"/>
      <c r="E34" s="571"/>
      <c r="F34" s="571"/>
      <c r="G34" s="571"/>
      <c r="H34" s="571"/>
    </row>
    <row r="35" spans="1:8">
      <c r="A35" s="571"/>
      <c r="B35" s="571"/>
      <c r="C35" s="571"/>
      <c r="D35" s="571"/>
      <c r="E35" s="571"/>
      <c r="F35" s="571"/>
      <c r="G35" s="571"/>
      <c r="H35" s="571"/>
    </row>
    <row r="36" spans="1:8">
      <c r="A36" s="571"/>
      <c r="B36" s="571"/>
      <c r="C36" s="571"/>
      <c r="D36" s="571"/>
      <c r="E36" s="571"/>
      <c r="F36" s="571"/>
      <c r="G36" s="571"/>
      <c r="H36" s="571"/>
    </row>
    <row r="37" spans="1:8">
      <c r="A37" s="21"/>
      <c r="B37" s="23"/>
      <c r="C37" s="20"/>
      <c r="D37" s="20"/>
      <c r="E37" s="20"/>
      <c r="F37" s="20"/>
      <c r="G37" s="20"/>
    </row>
    <row r="38" spans="1:8">
      <c r="A38" s="21"/>
      <c r="B38" s="23"/>
      <c r="C38" s="20"/>
      <c r="D38" s="20"/>
      <c r="E38" s="20"/>
      <c r="F38" s="20"/>
      <c r="G38" s="20"/>
    </row>
    <row r="39" spans="1:8" ht="15" thickBot="1">
      <c r="A39" s="570" t="s">
        <v>548</v>
      </c>
      <c r="B39" s="570"/>
      <c r="C39" s="570"/>
      <c r="D39" s="20"/>
      <c r="E39" s="20"/>
      <c r="F39" s="20"/>
      <c r="G39" s="20"/>
    </row>
    <row r="40" spans="1:8" ht="15" thickBot="1">
      <c r="A40" s="86" t="s">
        <v>549</v>
      </c>
      <c r="B40" s="211" t="s">
        <v>550</v>
      </c>
      <c r="C40" s="212" t="s">
        <v>551</v>
      </c>
      <c r="D40" s="20"/>
      <c r="E40" s="20"/>
      <c r="F40" s="20"/>
      <c r="G40" s="20"/>
    </row>
    <row r="41" spans="1:8">
      <c r="A41" s="87"/>
      <c r="B41" s="95">
        <v>0</v>
      </c>
      <c r="C41" s="88"/>
      <c r="D41" s="20"/>
      <c r="E41" s="20"/>
      <c r="F41" s="20"/>
      <c r="G41" s="20"/>
    </row>
    <row r="42" spans="1:8">
      <c r="A42" s="89"/>
      <c r="B42" s="96">
        <v>0</v>
      </c>
      <c r="C42" s="90"/>
      <c r="D42" s="20"/>
      <c r="E42" s="20"/>
      <c r="F42" s="20"/>
      <c r="G42" s="20"/>
    </row>
    <row r="43" spans="1:8">
      <c r="A43" s="89"/>
      <c r="B43" s="96">
        <v>0</v>
      </c>
      <c r="C43" s="90"/>
      <c r="D43" s="20"/>
      <c r="E43" s="20"/>
      <c r="F43" s="20"/>
      <c r="G43" s="20"/>
    </row>
    <row r="44" spans="1:8">
      <c r="A44" s="89"/>
      <c r="B44" s="96">
        <v>0</v>
      </c>
      <c r="C44" s="90"/>
      <c r="D44" s="20"/>
      <c r="E44" s="20"/>
      <c r="F44" s="20"/>
      <c r="G44" s="20"/>
    </row>
    <row r="45" spans="1:8">
      <c r="A45" s="89"/>
      <c r="B45" s="96">
        <v>0</v>
      </c>
      <c r="C45" s="90"/>
      <c r="D45" s="20"/>
      <c r="E45" s="20"/>
      <c r="F45" s="20"/>
      <c r="G45" s="20"/>
    </row>
    <row r="46" spans="1:8">
      <c r="A46" s="89"/>
      <c r="B46" s="96">
        <v>0</v>
      </c>
      <c r="C46" s="90"/>
      <c r="D46" s="20"/>
      <c r="E46" s="20"/>
      <c r="F46" s="20"/>
      <c r="G46" s="20"/>
    </row>
    <row r="47" spans="1:8" ht="15" thickBot="1">
      <c r="A47" s="91"/>
      <c r="B47" s="97">
        <v>0</v>
      </c>
      <c r="C47" s="92"/>
      <c r="D47" s="20"/>
      <c r="E47" s="20"/>
      <c r="F47" s="20"/>
      <c r="G47" s="20"/>
    </row>
    <row r="48" spans="1:8" ht="15" thickBot="1">
      <c r="A48" s="213" t="s">
        <v>550</v>
      </c>
      <c r="B48" s="94">
        <f>SUM(B41:B47)</f>
        <v>0</v>
      </c>
      <c r="C48" s="93"/>
      <c r="D48" s="20"/>
      <c r="E48" s="20"/>
      <c r="F48" s="20"/>
      <c r="G48" s="20"/>
    </row>
    <row r="49" spans="1:7">
      <c r="A49" s="21"/>
      <c r="B49" s="23"/>
      <c r="C49" s="20"/>
      <c r="D49" s="20"/>
      <c r="E49" s="20"/>
      <c r="F49" s="20"/>
      <c r="G49" s="20"/>
    </row>
    <row r="50" spans="1:7">
      <c r="A50" s="21"/>
      <c r="B50" s="23"/>
      <c r="C50" s="20"/>
      <c r="D50" s="20"/>
      <c r="E50" s="20"/>
      <c r="F50" s="20"/>
      <c r="G50" s="20"/>
    </row>
    <row r="51" spans="1:7">
      <c r="A51" s="21"/>
      <c r="B51" s="23"/>
      <c r="C51" s="20"/>
      <c r="D51" s="20"/>
      <c r="E51" s="20"/>
      <c r="F51" s="20"/>
      <c r="G51" s="20"/>
    </row>
    <row r="52" spans="1:7">
      <c r="A52" s="7"/>
      <c r="B52" s="7"/>
      <c r="C52" s="7"/>
      <c r="D52" s="7"/>
      <c r="E52" s="7"/>
      <c r="F52" s="7"/>
      <c r="G52" s="7"/>
    </row>
    <row r="53" spans="1:7">
      <c r="A53" s="33" t="s">
        <v>552</v>
      </c>
      <c r="B53" s="33"/>
      <c r="C53" s="33"/>
      <c r="D53" s="33"/>
      <c r="E53" s="33"/>
      <c r="F53" s="33"/>
      <c r="G53" s="33"/>
    </row>
    <row r="54" spans="1:7">
      <c r="A54" s="33"/>
      <c r="B54" s="33"/>
      <c r="C54" s="33"/>
      <c r="D54" s="33"/>
      <c r="E54" s="33"/>
      <c r="F54" s="33"/>
      <c r="G54" s="33"/>
    </row>
    <row r="55" spans="1:7">
      <c r="A55" s="36" t="s">
        <v>553</v>
      </c>
      <c r="B55" s="33"/>
      <c r="C55" s="33"/>
      <c r="D55" s="33"/>
      <c r="E55" s="33"/>
      <c r="F55" s="33"/>
      <c r="G55" s="33"/>
    </row>
    <row r="56" spans="1:7">
      <c r="A56" s="34" t="s">
        <v>554</v>
      </c>
      <c r="B56" s="33"/>
      <c r="C56" s="33"/>
      <c r="D56" s="33"/>
      <c r="E56" s="33"/>
      <c r="F56" s="33"/>
      <c r="G56" s="33"/>
    </row>
    <row r="57" spans="1:7">
      <c r="A57" s="34" t="s">
        <v>555</v>
      </c>
      <c r="B57" s="33"/>
      <c r="C57" s="33"/>
      <c r="D57" s="33"/>
      <c r="E57" s="33"/>
      <c r="F57" s="33"/>
      <c r="G57" s="33"/>
    </row>
    <row r="58" spans="1:7">
      <c r="A58" s="15"/>
    </row>
    <row r="59" spans="1:7" ht="29.25" customHeight="1">
      <c r="A59" s="15" t="s">
        <v>556</v>
      </c>
    </row>
    <row r="60" spans="1:7">
      <c r="A60" s="15"/>
    </row>
    <row r="61" spans="1:7" ht="29.25" customHeight="1">
      <c r="A61" s="15" t="s">
        <v>557</v>
      </c>
    </row>
    <row r="62" spans="1:7">
      <c r="A62" s="15"/>
    </row>
    <row r="63" spans="1:7" ht="27.75" customHeight="1">
      <c r="A63" s="15" t="s">
        <v>558</v>
      </c>
    </row>
    <row r="65" spans="1:3" ht="27" customHeight="1">
      <c r="A65" s="15" t="s">
        <v>556</v>
      </c>
    </row>
    <row r="66" spans="1:3">
      <c r="A66" s="15"/>
    </row>
    <row r="67" spans="1:3" ht="27.75" customHeight="1">
      <c r="A67" s="15" t="s">
        <v>557</v>
      </c>
    </row>
    <row r="68" spans="1:3">
      <c r="A68" s="15"/>
    </row>
    <row r="69" spans="1:3" ht="25.5" customHeight="1">
      <c r="A69" s="15" t="s">
        <v>558</v>
      </c>
    </row>
    <row r="72" spans="1:3">
      <c r="A72" s="35" t="s">
        <v>62</v>
      </c>
      <c r="C72" s="3" t="s">
        <v>519</v>
      </c>
    </row>
  </sheetData>
  <mergeCells count="5">
    <mergeCell ref="A39:C39"/>
    <mergeCell ref="A29:H36"/>
    <mergeCell ref="E15:H15"/>
    <mergeCell ref="B14:D14"/>
    <mergeCell ref="A28:D28"/>
  </mergeCells>
  <printOptions horizontalCentered="1" verticalCentered="1"/>
  <pageMargins left="0.23622047244094491" right="0.23622047244094491" top="0.74803149606299213" bottom="0.74803149606299213" header="0.31496062992125984" footer="0.31496062992125984"/>
  <pageSetup paperSize="9" scale="65" orientation="portrait" r:id="rId1"/>
  <headerFooter>
    <oddHeader>&amp;L&amp;"Calibri"&amp;12&amp;K000000 OFFICIAL&amp;1#_x000D_</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7C7DA-2F71-4AA9-B815-F386CC3208C8}">
  <sheetPr codeName="Sheet3">
    <tabColor theme="0" tint="-0.499984740745262"/>
  </sheetPr>
  <dimension ref="A1:E38"/>
  <sheetViews>
    <sheetView topLeftCell="A2" workbookViewId="0">
      <selection activeCell="C8" sqref="C8"/>
    </sheetView>
  </sheetViews>
  <sheetFormatPr defaultRowHeight="14.45"/>
  <cols>
    <col min="1" max="1" width="140.28515625" customWidth="1"/>
    <col min="2" max="2" width="12.7109375" customWidth="1"/>
    <col min="10" max="10" width="4.7109375" customWidth="1"/>
  </cols>
  <sheetData>
    <row r="1" spans="1:5" ht="69.75" customHeight="1">
      <c r="A1" s="151" t="s">
        <v>10</v>
      </c>
    </row>
    <row r="2" spans="1:5" ht="155.1">
      <c r="A2" s="147" t="s">
        <v>11</v>
      </c>
    </row>
    <row r="3" spans="1:5">
      <c r="A3" s="37"/>
    </row>
    <row r="4" spans="1:5" ht="17.45">
      <c r="A4" s="154" t="s">
        <v>12</v>
      </c>
      <c r="B4" s="152"/>
      <c r="C4" s="152"/>
      <c r="D4" s="152"/>
      <c r="E4" s="152"/>
    </row>
    <row r="5" spans="1:5" ht="15.95" thickBot="1">
      <c r="A5" s="153"/>
    </row>
    <row r="6" spans="1:5" ht="31.5" thickBot="1">
      <c r="A6" s="155" t="s">
        <v>13</v>
      </c>
    </row>
    <row r="7" spans="1:5" ht="15.95" thickBot="1">
      <c r="A7" s="156" t="s">
        <v>14</v>
      </c>
    </row>
    <row r="8" spans="1:5" ht="15.95" thickBot="1">
      <c r="A8" s="157" t="s">
        <v>15</v>
      </c>
    </row>
    <row r="9" spans="1:5" ht="78" thickBot="1">
      <c r="A9" s="155" t="s">
        <v>16</v>
      </c>
    </row>
    <row r="10" spans="1:5" ht="78" thickBot="1">
      <c r="A10" s="155" t="s">
        <v>17</v>
      </c>
    </row>
    <row r="11" spans="1:5" ht="78" thickBot="1">
      <c r="A11" s="155" t="s">
        <v>18</v>
      </c>
    </row>
    <row r="12" spans="1:5" ht="78" thickBot="1">
      <c r="A12" s="155" t="s">
        <v>19</v>
      </c>
    </row>
    <row r="13" spans="1:5" ht="108.95" thickBot="1">
      <c r="A13" s="155" t="s">
        <v>20</v>
      </c>
    </row>
    <row r="14" spans="1:5" ht="31.5" thickBot="1">
      <c r="A14" s="155" t="s">
        <v>21</v>
      </c>
    </row>
    <row r="15" spans="1:5" ht="31.5" thickBot="1">
      <c r="A15" s="155" t="s">
        <v>22</v>
      </c>
    </row>
    <row r="16" spans="1:5" ht="47.1" thickBot="1">
      <c r="A16" s="155" t="s">
        <v>23</v>
      </c>
    </row>
    <row r="17" spans="1:1" ht="47.1" thickBot="1">
      <c r="A17" s="155" t="s">
        <v>24</v>
      </c>
    </row>
    <row r="18" spans="1:1" ht="47.1" thickBot="1">
      <c r="A18" s="155" t="s">
        <v>25</v>
      </c>
    </row>
    <row r="19" spans="1:1" ht="31.5" thickBot="1">
      <c r="A19" s="155" t="s">
        <v>26</v>
      </c>
    </row>
    <row r="20" spans="1:1" ht="30.95">
      <c r="A20" s="155" t="s">
        <v>27</v>
      </c>
    </row>
    <row r="21" spans="1:1" ht="31.5" thickBot="1">
      <c r="A21" s="155" t="s">
        <v>28</v>
      </c>
    </row>
    <row r="22" spans="1:1" ht="123.95">
      <c r="A22" s="155" t="s">
        <v>29</v>
      </c>
    </row>
    <row r="23" spans="1:1" ht="9.9499999999999993" customHeight="1">
      <c r="A23" s="158"/>
    </row>
    <row r="24" spans="1:1" ht="17.45">
      <c r="A24" s="159" t="s">
        <v>30</v>
      </c>
    </row>
    <row r="25" spans="1:1" ht="46.5">
      <c r="A25" s="243" t="s">
        <v>31</v>
      </c>
    </row>
    <row r="26" spans="1:1" ht="15.6">
      <c r="A26" s="244"/>
    </row>
    <row r="27" spans="1:1" ht="31.5" thickBot="1">
      <c r="A27" s="245" t="s">
        <v>32</v>
      </c>
    </row>
    <row r="28" spans="1:1" ht="176.45" customHeight="1" thickBot="1">
      <c r="A28" s="246" t="s">
        <v>33</v>
      </c>
    </row>
    <row r="29" spans="1:1" ht="9.9499999999999993" customHeight="1" thickBot="1">
      <c r="A29" s="436"/>
    </row>
    <row r="30" spans="1:1" ht="47.1" thickBot="1">
      <c r="A30" s="435" t="s">
        <v>34</v>
      </c>
    </row>
    <row r="32" spans="1:1" ht="17.45" hidden="1">
      <c r="A32" s="242" t="s">
        <v>35</v>
      </c>
    </row>
    <row r="33" spans="1:1" ht="31.5" hidden="1" thickBot="1">
      <c r="A33" s="245" t="s">
        <v>36</v>
      </c>
    </row>
    <row r="34" spans="1:1" hidden="1"/>
    <row r="35" spans="1:1">
      <c r="A35" s="338" t="s">
        <v>37</v>
      </c>
    </row>
    <row r="36" spans="1:1">
      <c r="A36" s="339">
        <v>3</v>
      </c>
    </row>
    <row r="37" spans="1:1">
      <c r="A37" s="340">
        <v>46041</v>
      </c>
    </row>
    <row r="38" spans="1:1">
      <c r="A38" s="341" t="s">
        <v>38</v>
      </c>
    </row>
  </sheetData>
  <sheetProtection algorithmName="SHA-512" hashValue="Gp1ceJoaW2ZHabM9zJh/BP2/3KD/YLwveY2zWXapzig7kzVj1LXYlq71e+kMjTZBwPjJxa2YVN9w6EfIFf7rSA==" saltValue="s2bZQB90OearX5hLHsCvNw==" spinCount="100000" sheet="1" objects="1" scenarios="1"/>
  <pageMargins left="0.7" right="0.7" top="0.75" bottom="0.75" header="0.3" footer="0.3"/>
  <pageSetup paperSize="9" orientation="portrait" r:id="rId1"/>
  <headerFooter>
    <oddHeader>&amp;L&amp;"Calibri"&amp;12&amp;K000000 OFFICIAL&amp;1#_x000D_</oddHead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F032F-84C5-48D7-B401-BB49A558B67D}">
  <sheetPr>
    <tabColor rgb="FF00B050"/>
  </sheetPr>
  <dimension ref="A1:AX155"/>
  <sheetViews>
    <sheetView workbookViewId="0"/>
  </sheetViews>
  <sheetFormatPr defaultRowHeight="14.45"/>
  <cols>
    <col min="1" max="1" width="55.7109375" bestFit="1" customWidth="1"/>
    <col min="2" max="2" width="92.140625" bestFit="1" customWidth="1"/>
    <col min="4" max="4" width="16.7109375" customWidth="1"/>
  </cols>
  <sheetData>
    <row r="1" spans="1:2" ht="74.25" customHeight="1">
      <c r="B1" s="151" t="s">
        <v>39</v>
      </c>
    </row>
    <row r="2" spans="1:2" ht="15" thickBot="1"/>
    <row r="3" spans="1:2" ht="15.6">
      <c r="A3" s="179" t="s">
        <v>40</v>
      </c>
      <c r="B3" s="179" t="s">
        <v>41</v>
      </c>
    </row>
    <row r="4" spans="1:2" ht="15" thickBot="1"/>
    <row r="5" spans="1:2" ht="15.6">
      <c r="A5" s="179" t="s">
        <v>42</v>
      </c>
      <c r="B5" s="179"/>
    </row>
    <row r="6" spans="1:2" ht="15.6">
      <c r="A6" s="181" t="s">
        <v>43</v>
      </c>
    </row>
    <row r="7" spans="1:2" ht="15.6">
      <c r="A7" s="180" t="s">
        <v>44</v>
      </c>
      <c r="B7" s="177" t="b">
        <v>0</v>
      </c>
    </row>
    <row r="8" spans="1:2" ht="15.6">
      <c r="A8" s="180" t="s">
        <v>45</v>
      </c>
      <c r="B8" s="177" t="b">
        <v>0</v>
      </c>
    </row>
    <row r="9" spans="1:2" ht="15.6">
      <c r="A9" s="180" t="s">
        <v>46</v>
      </c>
      <c r="B9" s="177" t="b">
        <v>0</v>
      </c>
    </row>
    <row r="10" spans="1:2" ht="15.6">
      <c r="A10" s="180" t="s">
        <v>47</v>
      </c>
      <c r="B10" s="177" t="b">
        <v>0</v>
      </c>
    </row>
    <row r="11" spans="1:2" ht="15.95" thickBot="1">
      <c r="A11" s="180"/>
      <c r="B11" s="177"/>
    </row>
    <row r="12" spans="1:2" ht="15.6">
      <c r="A12" s="179" t="s">
        <v>48</v>
      </c>
      <c r="B12" s="179"/>
    </row>
    <row r="13" spans="1:2" ht="15.6">
      <c r="A13" s="181" t="s">
        <v>43</v>
      </c>
      <c r="B13" s="177"/>
    </row>
    <row r="14" spans="1:2" ht="15.6">
      <c r="A14" s="180" t="s">
        <v>44</v>
      </c>
      <c r="B14" s="177"/>
    </row>
    <row r="15" spans="1:2" ht="15.6">
      <c r="A15" s="180" t="s">
        <v>45</v>
      </c>
      <c r="B15" s="177"/>
    </row>
    <row r="16" spans="1:2" ht="15.6">
      <c r="A16" s="180" t="s">
        <v>46</v>
      </c>
      <c r="B16" s="177"/>
    </row>
    <row r="17" spans="1:2" ht="15.6">
      <c r="A17" s="180" t="s">
        <v>47</v>
      </c>
      <c r="B17" s="177"/>
    </row>
    <row r="18" spans="1:2" ht="15" thickBot="1"/>
    <row r="19" spans="1:2" ht="15.6">
      <c r="A19" s="179" t="s">
        <v>49</v>
      </c>
      <c r="B19" s="179"/>
    </row>
    <row r="20" spans="1:2" ht="15.6">
      <c r="A20" s="181" t="s">
        <v>43</v>
      </c>
    </row>
    <row r="21" spans="1:2" ht="15.6">
      <c r="A21" s="180" t="s">
        <v>44</v>
      </c>
      <c r="B21" s="177" t="b">
        <v>0</v>
      </c>
    </row>
    <row r="22" spans="1:2" ht="30.95">
      <c r="A22" s="182" t="s">
        <v>50</v>
      </c>
      <c r="B22" s="177" t="b">
        <v>0</v>
      </c>
    </row>
    <row r="23" spans="1:2" ht="15.6">
      <c r="A23" s="182" t="s">
        <v>51</v>
      </c>
      <c r="B23" s="185" t="b">
        <v>0</v>
      </c>
    </row>
    <row r="24" spans="1:2" ht="15.6">
      <c r="A24" s="180" t="s">
        <v>47</v>
      </c>
      <c r="B24" s="177" t="b">
        <v>0</v>
      </c>
    </row>
    <row r="25" spans="1:2" ht="15.6">
      <c r="A25" s="181" t="s">
        <v>52</v>
      </c>
    </row>
    <row r="26" spans="1:2" ht="15.6">
      <c r="A26" s="180" t="s">
        <v>53</v>
      </c>
      <c r="B26" s="177" t="b">
        <v>0</v>
      </c>
    </row>
    <row r="27" spans="1:2" ht="30.95">
      <c r="A27" s="182" t="s">
        <v>54</v>
      </c>
      <c r="B27" s="183" t="b">
        <v>0</v>
      </c>
    </row>
    <row r="28" spans="1:2" ht="15" thickBot="1"/>
    <row r="29" spans="1:2" ht="15.6">
      <c r="A29" s="179" t="s">
        <v>55</v>
      </c>
      <c r="B29" s="179"/>
    </row>
    <row r="30" spans="1:2" ht="15.6">
      <c r="A30" s="181" t="s">
        <v>43</v>
      </c>
    </row>
    <row r="31" spans="1:2" ht="15.6">
      <c r="A31" s="180" t="s">
        <v>44</v>
      </c>
      <c r="B31" s="177" t="b">
        <v>0</v>
      </c>
    </row>
    <row r="32" spans="1:2" ht="15.6">
      <c r="A32" s="180" t="s">
        <v>45</v>
      </c>
      <c r="B32" s="177" t="b">
        <v>0</v>
      </c>
    </row>
    <row r="33" spans="1:2" ht="15.6">
      <c r="A33" s="180" t="s">
        <v>46</v>
      </c>
      <c r="B33" s="177" t="b">
        <v>0</v>
      </c>
    </row>
    <row r="34" spans="1:2" ht="15.6">
      <c r="A34" s="180" t="s">
        <v>47</v>
      </c>
      <c r="B34" s="177" t="b">
        <v>0</v>
      </c>
    </row>
    <row r="35" spans="1:2" ht="30.95">
      <c r="A35" s="182" t="s">
        <v>56</v>
      </c>
      <c r="B35" s="177" t="b">
        <v>0</v>
      </c>
    </row>
    <row r="36" spans="1:2" ht="15.6">
      <c r="A36" s="181" t="s">
        <v>57</v>
      </c>
    </row>
    <row r="37" spans="1:2" ht="15.6">
      <c r="A37" s="180" t="s">
        <v>58</v>
      </c>
      <c r="B37" s="177" t="b">
        <v>0</v>
      </c>
    </row>
    <row r="38" spans="1:2" ht="30.95">
      <c r="A38" s="182" t="s">
        <v>59</v>
      </c>
      <c r="B38" s="177" t="b">
        <v>0</v>
      </c>
    </row>
    <row r="39" spans="1:2" ht="15.6">
      <c r="A39" s="184" t="s">
        <v>60</v>
      </c>
    </row>
    <row r="40" spans="1:2" ht="30.95">
      <c r="A40" s="182" t="s">
        <v>61</v>
      </c>
      <c r="B40" s="185" t="b">
        <v>0</v>
      </c>
    </row>
    <row r="42" spans="1:2">
      <c r="A42" s="35" t="s">
        <v>62</v>
      </c>
    </row>
    <row r="154" spans="47:50">
      <c r="AU154">
        <f>COUNTIF(B7:B38,TRUE)</f>
        <v>0</v>
      </c>
      <c r="AV154">
        <f>COUNTA(B7:B38)</f>
        <v>17</v>
      </c>
      <c r="AX154" t="s">
        <v>63</v>
      </c>
    </row>
    <row r="155" spans="47:50">
      <c r="AU155">
        <f>COUNTIF(B7:B38,FALSE)</f>
        <v>17</v>
      </c>
      <c r="AV155">
        <f>COUNTA(B7:B38)</f>
        <v>17</v>
      </c>
      <c r="AX155" s="119" t="s">
        <v>64</v>
      </c>
    </row>
  </sheetData>
  <conditionalFormatting sqref="A7:A11 A14:A17 A26:A27">
    <cfRule type="expression" dxfId="306" priority="8">
      <formula>$B7</formula>
    </cfRule>
  </conditionalFormatting>
  <conditionalFormatting sqref="A21:A24">
    <cfRule type="expression" dxfId="305" priority="5">
      <formula>$B21</formula>
    </cfRule>
  </conditionalFormatting>
  <conditionalFormatting sqref="A31:A34">
    <cfRule type="expression" dxfId="304" priority="1">
      <formula>$B31</formula>
    </cfRule>
  </conditionalFormatting>
  <conditionalFormatting sqref="A35">
    <cfRule type="expression" dxfId="303" priority="7">
      <formula>$B35</formula>
    </cfRule>
  </conditionalFormatting>
  <conditionalFormatting sqref="A37:A40">
    <cfRule type="expression" dxfId="302" priority="6">
      <formula>$B37</formula>
    </cfRule>
  </conditionalFormatting>
  <pageMargins left="0.7" right="0.7" top="0.75" bottom="0.75" header="0.3" footer="0.3"/>
  <pageSetup paperSize="9" orientation="portrait" r:id="rId1"/>
  <headerFooter>
    <oddHeader>&amp;L&amp;"Calibri"&amp;12&amp;K000000 OFFICIAL&amp;1#_x000D_</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5601" r:id="rId4" name="Check Box 1">
              <controlPr defaultSize="0" autoFill="0" autoLine="0" autoPict="0">
                <anchor moveWithCells="1">
                  <from>
                    <xdr:col>1</xdr:col>
                    <xdr:colOff>31750</xdr:colOff>
                    <xdr:row>6</xdr:row>
                    <xdr:rowOff>0</xdr:rowOff>
                  </from>
                  <to>
                    <xdr:col>1</xdr:col>
                    <xdr:colOff>584200</xdr:colOff>
                    <xdr:row>7</xdr:row>
                    <xdr:rowOff>0</xdr:rowOff>
                  </to>
                </anchor>
              </controlPr>
            </control>
          </mc:Choice>
        </mc:AlternateContent>
        <mc:AlternateContent xmlns:mc="http://schemas.openxmlformats.org/markup-compatibility/2006">
          <mc:Choice Requires="x14">
            <control shapeId="25602" r:id="rId5" name="Check Box 2">
              <controlPr defaultSize="0" autoFill="0" autoLine="0" autoPict="0">
                <anchor moveWithCells="1">
                  <from>
                    <xdr:col>1</xdr:col>
                    <xdr:colOff>31750</xdr:colOff>
                    <xdr:row>7</xdr:row>
                    <xdr:rowOff>0</xdr:rowOff>
                  </from>
                  <to>
                    <xdr:col>1</xdr:col>
                    <xdr:colOff>584200</xdr:colOff>
                    <xdr:row>8</xdr:row>
                    <xdr:rowOff>0</xdr:rowOff>
                  </to>
                </anchor>
              </controlPr>
            </control>
          </mc:Choice>
        </mc:AlternateContent>
        <mc:AlternateContent xmlns:mc="http://schemas.openxmlformats.org/markup-compatibility/2006">
          <mc:Choice Requires="x14">
            <control shapeId="25603" r:id="rId6" name="Check Box 3">
              <controlPr defaultSize="0" autoFill="0" autoLine="0" autoPict="0">
                <anchor moveWithCells="1">
                  <from>
                    <xdr:col>1</xdr:col>
                    <xdr:colOff>31750</xdr:colOff>
                    <xdr:row>8</xdr:row>
                    <xdr:rowOff>0</xdr:rowOff>
                  </from>
                  <to>
                    <xdr:col>1</xdr:col>
                    <xdr:colOff>584200</xdr:colOff>
                    <xdr:row>9</xdr:row>
                    <xdr:rowOff>0</xdr:rowOff>
                  </to>
                </anchor>
              </controlPr>
            </control>
          </mc:Choice>
        </mc:AlternateContent>
        <mc:AlternateContent xmlns:mc="http://schemas.openxmlformats.org/markup-compatibility/2006">
          <mc:Choice Requires="x14">
            <control shapeId="25604" r:id="rId7" name="Check Box 4">
              <controlPr defaultSize="0" autoFill="0" autoLine="0" autoPict="0">
                <anchor moveWithCells="1">
                  <from>
                    <xdr:col>1</xdr:col>
                    <xdr:colOff>31750</xdr:colOff>
                    <xdr:row>9</xdr:row>
                    <xdr:rowOff>0</xdr:rowOff>
                  </from>
                  <to>
                    <xdr:col>1</xdr:col>
                    <xdr:colOff>584200</xdr:colOff>
                    <xdr:row>10</xdr:row>
                    <xdr:rowOff>0</xdr:rowOff>
                  </to>
                </anchor>
              </controlPr>
            </control>
          </mc:Choice>
        </mc:AlternateContent>
        <mc:AlternateContent xmlns:mc="http://schemas.openxmlformats.org/markup-compatibility/2006">
          <mc:Choice Requires="x14">
            <control shapeId="25605" r:id="rId8" name="Check Box 5">
              <controlPr defaultSize="0" autoFill="0" autoLine="0" autoPict="0">
                <anchor moveWithCells="1">
                  <from>
                    <xdr:col>1</xdr:col>
                    <xdr:colOff>31750</xdr:colOff>
                    <xdr:row>9</xdr:row>
                    <xdr:rowOff>0</xdr:rowOff>
                  </from>
                  <to>
                    <xdr:col>1</xdr:col>
                    <xdr:colOff>584200</xdr:colOff>
                    <xdr:row>10</xdr:row>
                    <xdr:rowOff>0</xdr:rowOff>
                  </to>
                </anchor>
              </controlPr>
            </control>
          </mc:Choice>
        </mc:AlternateContent>
        <mc:AlternateContent xmlns:mc="http://schemas.openxmlformats.org/markup-compatibility/2006">
          <mc:Choice Requires="x14">
            <control shapeId="25606" r:id="rId9" name="Check Box 6">
              <controlPr defaultSize="0" autoFill="0" autoLine="0" autoPict="0">
                <anchor moveWithCells="1">
                  <from>
                    <xdr:col>1</xdr:col>
                    <xdr:colOff>31750</xdr:colOff>
                    <xdr:row>20</xdr:row>
                    <xdr:rowOff>0</xdr:rowOff>
                  </from>
                  <to>
                    <xdr:col>1</xdr:col>
                    <xdr:colOff>584200</xdr:colOff>
                    <xdr:row>21</xdr:row>
                    <xdr:rowOff>0</xdr:rowOff>
                  </to>
                </anchor>
              </controlPr>
            </control>
          </mc:Choice>
        </mc:AlternateContent>
        <mc:AlternateContent xmlns:mc="http://schemas.openxmlformats.org/markup-compatibility/2006">
          <mc:Choice Requires="x14">
            <control shapeId="25607" r:id="rId10" name="Check Box 7">
              <controlPr defaultSize="0" autoFill="0" autoLine="0" autoPict="0">
                <anchor moveWithCells="1">
                  <from>
                    <xdr:col>1</xdr:col>
                    <xdr:colOff>31750</xdr:colOff>
                    <xdr:row>21</xdr:row>
                    <xdr:rowOff>0</xdr:rowOff>
                  </from>
                  <to>
                    <xdr:col>1</xdr:col>
                    <xdr:colOff>584200</xdr:colOff>
                    <xdr:row>21</xdr:row>
                    <xdr:rowOff>190500</xdr:rowOff>
                  </to>
                </anchor>
              </controlPr>
            </control>
          </mc:Choice>
        </mc:AlternateContent>
        <mc:AlternateContent xmlns:mc="http://schemas.openxmlformats.org/markup-compatibility/2006">
          <mc:Choice Requires="x14">
            <control shapeId="25608" r:id="rId11" name="Check Box 8">
              <controlPr defaultSize="0" autoFill="0" autoLine="0" autoPict="0">
                <anchor moveWithCells="1">
                  <from>
                    <xdr:col>1</xdr:col>
                    <xdr:colOff>31750</xdr:colOff>
                    <xdr:row>23</xdr:row>
                    <xdr:rowOff>0</xdr:rowOff>
                  </from>
                  <to>
                    <xdr:col>1</xdr:col>
                    <xdr:colOff>584200</xdr:colOff>
                    <xdr:row>24</xdr:row>
                    <xdr:rowOff>0</xdr:rowOff>
                  </to>
                </anchor>
              </controlPr>
            </control>
          </mc:Choice>
        </mc:AlternateContent>
        <mc:AlternateContent xmlns:mc="http://schemas.openxmlformats.org/markup-compatibility/2006">
          <mc:Choice Requires="x14">
            <control shapeId="25609" r:id="rId12" name="Check Box 9">
              <controlPr defaultSize="0" autoFill="0" autoLine="0" autoPict="0">
                <anchor moveWithCells="1">
                  <from>
                    <xdr:col>1</xdr:col>
                    <xdr:colOff>31750</xdr:colOff>
                    <xdr:row>25</xdr:row>
                    <xdr:rowOff>0</xdr:rowOff>
                  </from>
                  <to>
                    <xdr:col>1</xdr:col>
                    <xdr:colOff>584200</xdr:colOff>
                    <xdr:row>26</xdr:row>
                    <xdr:rowOff>0</xdr:rowOff>
                  </to>
                </anchor>
              </controlPr>
            </control>
          </mc:Choice>
        </mc:AlternateContent>
        <mc:AlternateContent xmlns:mc="http://schemas.openxmlformats.org/markup-compatibility/2006">
          <mc:Choice Requires="x14">
            <control shapeId="25610" r:id="rId13" name="Check Box 10">
              <controlPr defaultSize="0" autoFill="0" autoLine="0" autoPict="0">
                <anchor moveWithCells="1">
                  <from>
                    <xdr:col>1</xdr:col>
                    <xdr:colOff>31750</xdr:colOff>
                    <xdr:row>26</xdr:row>
                    <xdr:rowOff>0</xdr:rowOff>
                  </from>
                  <to>
                    <xdr:col>1</xdr:col>
                    <xdr:colOff>584200</xdr:colOff>
                    <xdr:row>26</xdr:row>
                    <xdr:rowOff>190500</xdr:rowOff>
                  </to>
                </anchor>
              </controlPr>
            </control>
          </mc:Choice>
        </mc:AlternateContent>
        <mc:AlternateContent xmlns:mc="http://schemas.openxmlformats.org/markup-compatibility/2006">
          <mc:Choice Requires="x14">
            <control shapeId="25611" r:id="rId14" name="Check Box 11">
              <controlPr defaultSize="0" autoFill="0" autoLine="0" autoPict="0">
                <anchor moveWithCells="1">
                  <from>
                    <xdr:col>1</xdr:col>
                    <xdr:colOff>31750</xdr:colOff>
                    <xdr:row>23</xdr:row>
                    <xdr:rowOff>0</xdr:rowOff>
                  </from>
                  <to>
                    <xdr:col>1</xdr:col>
                    <xdr:colOff>584200</xdr:colOff>
                    <xdr:row>24</xdr:row>
                    <xdr:rowOff>0</xdr:rowOff>
                  </to>
                </anchor>
              </controlPr>
            </control>
          </mc:Choice>
        </mc:AlternateContent>
        <mc:AlternateContent xmlns:mc="http://schemas.openxmlformats.org/markup-compatibility/2006">
          <mc:Choice Requires="x14">
            <control shapeId="25612" r:id="rId15" name="Check Box 12">
              <controlPr defaultSize="0" autoFill="0" autoLine="0" autoPict="0">
                <anchor moveWithCells="1">
                  <from>
                    <xdr:col>1</xdr:col>
                    <xdr:colOff>31750</xdr:colOff>
                    <xdr:row>30</xdr:row>
                    <xdr:rowOff>0</xdr:rowOff>
                  </from>
                  <to>
                    <xdr:col>1</xdr:col>
                    <xdr:colOff>584200</xdr:colOff>
                    <xdr:row>31</xdr:row>
                    <xdr:rowOff>0</xdr:rowOff>
                  </to>
                </anchor>
              </controlPr>
            </control>
          </mc:Choice>
        </mc:AlternateContent>
        <mc:AlternateContent xmlns:mc="http://schemas.openxmlformats.org/markup-compatibility/2006">
          <mc:Choice Requires="x14">
            <control shapeId="25613" r:id="rId16" name="Check Box 13">
              <controlPr defaultSize="0" autoFill="0" autoLine="0" autoPict="0">
                <anchor moveWithCells="1">
                  <from>
                    <xdr:col>1</xdr:col>
                    <xdr:colOff>31750</xdr:colOff>
                    <xdr:row>31</xdr:row>
                    <xdr:rowOff>0</xdr:rowOff>
                  </from>
                  <to>
                    <xdr:col>1</xdr:col>
                    <xdr:colOff>584200</xdr:colOff>
                    <xdr:row>32</xdr:row>
                    <xdr:rowOff>0</xdr:rowOff>
                  </to>
                </anchor>
              </controlPr>
            </control>
          </mc:Choice>
        </mc:AlternateContent>
        <mc:AlternateContent xmlns:mc="http://schemas.openxmlformats.org/markup-compatibility/2006">
          <mc:Choice Requires="x14">
            <control shapeId="25614" r:id="rId17" name="Check Box 14">
              <controlPr defaultSize="0" autoFill="0" autoLine="0" autoPict="0">
                <anchor moveWithCells="1">
                  <from>
                    <xdr:col>1</xdr:col>
                    <xdr:colOff>31750</xdr:colOff>
                    <xdr:row>31</xdr:row>
                    <xdr:rowOff>0</xdr:rowOff>
                  </from>
                  <to>
                    <xdr:col>1</xdr:col>
                    <xdr:colOff>584200</xdr:colOff>
                    <xdr:row>32</xdr:row>
                    <xdr:rowOff>0</xdr:rowOff>
                  </to>
                </anchor>
              </controlPr>
            </control>
          </mc:Choice>
        </mc:AlternateContent>
        <mc:AlternateContent xmlns:mc="http://schemas.openxmlformats.org/markup-compatibility/2006">
          <mc:Choice Requires="x14">
            <control shapeId="25615" r:id="rId18" name="Check Box 15">
              <controlPr defaultSize="0" autoFill="0" autoLine="0" autoPict="0">
                <anchor moveWithCells="1">
                  <from>
                    <xdr:col>1</xdr:col>
                    <xdr:colOff>31750</xdr:colOff>
                    <xdr:row>32</xdr:row>
                    <xdr:rowOff>0</xdr:rowOff>
                  </from>
                  <to>
                    <xdr:col>1</xdr:col>
                    <xdr:colOff>584200</xdr:colOff>
                    <xdr:row>33</xdr:row>
                    <xdr:rowOff>0</xdr:rowOff>
                  </to>
                </anchor>
              </controlPr>
            </control>
          </mc:Choice>
        </mc:AlternateContent>
        <mc:AlternateContent xmlns:mc="http://schemas.openxmlformats.org/markup-compatibility/2006">
          <mc:Choice Requires="x14">
            <control shapeId="25616" r:id="rId19" name="Check Box 16">
              <controlPr defaultSize="0" autoFill="0" autoLine="0" autoPict="0">
                <anchor moveWithCells="1">
                  <from>
                    <xdr:col>1</xdr:col>
                    <xdr:colOff>31750</xdr:colOff>
                    <xdr:row>33</xdr:row>
                    <xdr:rowOff>0</xdr:rowOff>
                  </from>
                  <to>
                    <xdr:col>1</xdr:col>
                    <xdr:colOff>584200</xdr:colOff>
                    <xdr:row>34</xdr:row>
                    <xdr:rowOff>0</xdr:rowOff>
                  </to>
                </anchor>
              </controlPr>
            </control>
          </mc:Choice>
        </mc:AlternateContent>
        <mc:AlternateContent xmlns:mc="http://schemas.openxmlformats.org/markup-compatibility/2006">
          <mc:Choice Requires="x14">
            <control shapeId="25617" r:id="rId20" name="Check Box 17">
              <controlPr defaultSize="0" autoFill="0" autoLine="0" autoPict="0">
                <anchor moveWithCells="1">
                  <from>
                    <xdr:col>1</xdr:col>
                    <xdr:colOff>31750</xdr:colOff>
                    <xdr:row>33</xdr:row>
                    <xdr:rowOff>0</xdr:rowOff>
                  </from>
                  <to>
                    <xdr:col>1</xdr:col>
                    <xdr:colOff>584200</xdr:colOff>
                    <xdr:row>34</xdr:row>
                    <xdr:rowOff>0</xdr:rowOff>
                  </to>
                </anchor>
              </controlPr>
            </control>
          </mc:Choice>
        </mc:AlternateContent>
        <mc:AlternateContent xmlns:mc="http://schemas.openxmlformats.org/markup-compatibility/2006">
          <mc:Choice Requires="x14">
            <control shapeId="25618" r:id="rId21" name="Check Box 18">
              <controlPr defaultSize="0" autoFill="0" autoLine="0" autoPict="0">
                <anchor moveWithCells="1">
                  <from>
                    <xdr:col>1</xdr:col>
                    <xdr:colOff>31750</xdr:colOff>
                    <xdr:row>34</xdr:row>
                    <xdr:rowOff>0</xdr:rowOff>
                  </from>
                  <to>
                    <xdr:col>1</xdr:col>
                    <xdr:colOff>584200</xdr:colOff>
                    <xdr:row>34</xdr:row>
                    <xdr:rowOff>190500</xdr:rowOff>
                  </to>
                </anchor>
              </controlPr>
            </control>
          </mc:Choice>
        </mc:AlternateContent>
        <mc:AlternateContent xmlns:mc="http://schemas.openxmlformats.org/markup-compatibility/2006">
          <mc:Choice Requires="x14">
            <control shapeId="25619" r:id="rId22" name="Check Box 19">
              <controlPr defaultSize="0" autoFill="0" autoLine="0" autoPict="0">
                <anchor moveWithCells="1">
                  <from>
                    <xdr:col>1</xdr:col>
                    <xdr:colOff>31750</xdr:colOff>
                    <xdr:row>36</xdr:row>
                    <xdr:rowOff>0</xdr:rowOff>
                  </from>
                  <to>
                    <xdr:col>1</xdr:col>
                    <xdr:colOff>584200</xdr:colOff>
                    <xdr:row>37</xdr:row>
                    <xdr:rowOff>0</xdr:rowOff>
                  </to>
                </anchor>
              </controlPr>
            </control>
          </mc:Choice>
        </mc:AlternateContent>
        <mc:AlternateContent xmlns:mc="http://schemas.openxmlformats.org/markup-compatibility/2006">
          <mc:Choice Requires="x14">
            <control shapeId="25620" r:id="rId23" name="Check Box 20">
              <controlPr defaultSize="0" autoFill="0" autoLine="0" autoPict="0">
                <anchor moveWithCells="1">
                  <from>
                    <xdr:col>1</xdr:col>
                    <xdr:colOff>31750</xdr:colOff>
                    <xdr:row>37</xdr:row>
                    <xdr:rowOff>0</xdr:rowOff>
                  </from>
                  <to>
                    <xdr:col>1</xdr:col>
                    <xdr:colOff>584200</xdr:colOff>
                    <xdr:row>37</xdr:row>
                    <xdr:rowOff>190500</xdr:rowOff>
                  </to>
                </anchor>
              </controlPr>
            </control>
          </mc:Choice>
        </mc:AlternateContent>
        <mc:AlternateContent xmlns:mc="http://schemas.openxmlformats.org/markup-compatibility/2006">
          <mc:Choice Requires="x14">
            <control shapeId="25621" r:id="rId24" name="Check Box 21">
              <controlPr defaultSize="0" autoFill="0" autoLine="0" autoPict="0">
                <anchor moveWithCells="1">
                  <from>
                    <xdr:col>1</xdr:col>
                    <xdr:colOff>31750</xdr:colOff>
                    <xdr:row>39</xdr:row>
                    <xdr:rowOff>0</xdr:rowOff>
                  </from>
                  <to>
                    <xdr:col>1</xdr:col>
                    <xdr:colOff>584200</xdr:colOff>
                    <xdr:row>39</xdr:row>
                    <xdr:rowOff>190500</xdr:rowOff>
                  </to>
                </anchor>
              </controlPr>
            </control>
          </mc:Choice>
        </mc:AlternateContent>
        <mc:AlternateContent xmlns:mc="http://schemas.openxmlformats.org/markup-compatibility/2006">
          <mc:Choice Requires="x14">
            <control shapeId="25622" r:id="rId25" name="Check Box 22">
              <controlPr defaultSize="0" autoFill="0" autoLine="0" autoPict="0">
                <anchor moveWithCells="1">
                  <from>
                    <xdr:col>1</xdr:col>
                    <xdr:colOff>31750</xdr:colOff>
                    <xdr:row>22</xdr:row>
                    <xdr:rowOff>0</xdr:rowOff>
                  </from>
                  <to>
                    <xdr:col>1</xdr:col>
                    <xdr:colOff>584200</xdr:colOff>
                    <xdr:row>23</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C515A-849F-4687-A781-B9A465B2DEE0}">
  <sheetPr codeName="Sheet1">
    <tabColor rgb="FF00B050"/>
  </sheetPr>
  <dimension ref="A1:AX153"/>
  <sheetViews>
    <sheetView topLeftCell="A5" zoomScale="145" zoomScaleNormal="145" workbookViewId="0">
      <selection activeCell="C11" sqref="C11"/>
    </sheetView>
  </sheetViews>
  <sheetFormatPr defaultRowHeight="14.45"/>
  <cols>
    <col min="1" max="1" width="71.85546875" customWidth="1"/>
    <col min="2" max="2" width="92.140625" bestFit="1" customWidth="1"/>
    <col min="3" max="3" width="9.42578125" bestFit="1" customWidth="1"/>
    <col min="4" max="4" width="16.7109375" customWidth="1"/>
  </cols>
  <sheetData>
    <row r="1" spans="1:2" ht="74.25" customHeight="1">
      <c r="B1" s="151" t="s">
        <v>65</v>
      </c>
    </row>
    <row r="2" spans="1:2" ht="15" thickBot="1"/>
    <row r="3" spans="1:2" ht="15.6">
      <c r="A3" s="179" t="s">
        <v>40</v>
      </c>
      <c r="B3" s="179" t="s">
        <v>66</v>
      </c>
    </row>
    <row r="4" spans="1:2" ht="15" thickBot="1"/>
    <row r="5" spans="1:2" ht="15.6">
      <c r="A5" s="179" t="s">
        <v>42</v>
      </c>
      <c r="B5" s="179"/>
    </row>
    <row r="6" spans="1:2" ht="15.6">
      <c r="A6" s="181" t="s">
        <v>43</v>
      </c>
    </row>
    <row r="7" spans="1:2" ht="15.6">
      <c r="A7" s="180" t="s">
        <v>67</v>
      </c>
      <c r="B7" s="239" t="b">
        <v>0</v>
      </c>
    </row>
    <row r="8" spans="1:2" ht="15.6">
      <c r="A8" s="180" t="s">
        <v>45</v>
      </c>
      <c r="B8" s="239" t="b">
        <v>0</v>
      </c>
    </row>
    <row r="9" spans="1:2" ht="15.6">
      <c r="A9" s="180" t="s">
        <v>46</v>
      </c>
      <c r="B9" s="239" t="b">
        <v>0</v>
      </c>
    </row>
    <row r="10" spans="1:2" ht="15.6">
      <c r="A10" s="180" t="s">
        <v>47</v>
      </c>
      <c r="B10" s="239" t="b">
        <v>0</v>
      </c>
    </row>
    <row r="11" spans="1:2" ht="15.95" thickBot="1">
      <c r="A11" s="180"/>
      <c r="B11" s="177"/>
    </row>
    <row r="12" spans="1:2" ht="15.6">
      <c r="A12" s="179" t="s">
        <v>48</v>
      </c>
      <c r="B12" s="179"/>
    </row>
    <row r="13" spans="1:2" ht="15.6">
      <c r="A13" s="181" t="s">
        <v>43</v>
      </c>
      <c r="B13" s="177" t="b">
        <v>0</v>
      </c>
    </row>
    <row r="14" spans="1:2" ht="15.6">
      <c r="A14" s="180" t="s">
        <v>68</v>
      </c>
      <c r="B14" s="239" t="b">
        <v>0</v>
      </c>
    </row>
    <row r="15" spans="1:2" ht="15.6">
      <c r="A15" s="180" t="s">
        <v>45</v>
      </c>
      <c r="B15" s="239" t="b">
        <v>0</v>
      </c>
    </row>
    <row r="16" spans="1:2" ht="15.6">
      <c r="A16" s="180" t="s">
        <v>46</v>
      </c>
      <c r="B16" s="239" t="b">
        <v>0</v>
      </c>
    </row>
    <row r="17" spans="1:2" ht="15.6">
      <c r="A17" s="180" t="s">
        <v>69</v>
      </c>
      <c r="B17" s="239" t="b">
        <v>0</v>
      </c>
    </row>
    <row r="18" spans="1:2" ht="15.6">
      <c r="A18" s="180" t="s">
        <v>47</v>
      </c>
      <c r="B18" s="239" t="b">
        <v>0</v>
      </c>
    </row>
    <row r="19" spans="1:2" ht="15" thickBot="1"/>
    <row r="20" spans="1:2" ht="15.6">
      <c r="A20" s="179" t="s">
        <v>70</v>
      </c>
      <c r="B20" s="179"/>
    </row>
    <row r="21" spans="1:2" ht="15.6">
      <c r="A21" s="181" t="s">
        <v>43</v>
      </c>
      <c r="B21" s="240"/>
    </row>
    <row r="22" spans="1:2" ht="15.6">
      <c r="A22" s="180" t="s">
        <v>47</v>
      </c>
      <c r="B22" s="239" t="b">
        <v>0</v>
      </c>
    </row>
    <row r="23" spans="1:2" ht="15.6">
      <c r="A23" s="181" t="s">
        <v>52</v>
      </c>
      <c r="B23" s="283"/>
    </row>
    <row r="24" spans="1:2" ht="15.6">
      <c r="A24" s="180" t="s">
        <v>53</v>
      </c>
      <c r="B24" s="239" t="b">
        <v>0</v>
      </c>
    </row>
    <row r="25" spans="1:2" ht="15.6">
      <c r="A25" s="182" t="s">
        <v>54</v>
      </c>
      <c r="B25" s="239" t="b">
        <v>0</v>
      </c>
    </row>
    <row r="26" spans="1:2" ht="15" thickBot="1"/>
    <row r="27" spans="1:2" ht="15.6">
      <c r="A27" s="179" t="s">
        <v>55</v>
      </c>
      <c r="B27" s="179"/>
    </row>
    <row r="28" spans="1:2" ht="15.6">
      <c r="A28" s="181" t="s">
        <v>43</v>
      </c>
    </row>
    <row r="29" spans="1:2" ht="15.6">
      <c r="A29" s="180" t="s">
        <v>67</v>
      </c>
      <c r="B29" s="239" t="b">
        <v>0</v>
      </c>
    </row>
    <row r="30" spans="1:2" ht="15.6">
      <c r="A30" s="180" t="s">
        <v>45</v>
      </c>
      <c r="B30" s="239" t="b">
        <v>0</v>
      </c>
    </row>
    <row r="31" spans="1:2" ht="15.6">
      <c r="A31" s="180" t="s">
        <v>46</v>
      </c>
      <c r="B31" s="239" t="b">
        <v>0</v>
      </c>
    </row>
    <row r="32" spans="1:2" ht="15.6">
      <c r="A32" s="180" t="s">
        <v>69</v>
      </c>
      <c r="B32" s="239" t="b">
        <v>0</v>
      </c>
    </row>
    <row r="33" spans="1:4" ht="15.6">
      <c r="A33" s="180" t="s">
        <v>47</v>
      </c>
      <c r="B33" s="239" t="b">
        <v>0</v>
      </c>
    </row>
    <row r="34" spans="1:4" ht="30.95">
      <c r="A34" s="182" t="s">
        <v>56</v>
      </c>
      <c r="B34" s="241" t="b">
        <v>0</v>
      </c>
    </row>
    <row r="35" spans="1:4" ht="15.6">
      <c r="A35" s="181" t="s">
        <v>57</v>
      </c>
    </row>
    <row r="36" spans="1:4" ht="15.6">
      <c r="A36" s="180" t="s">
        <v>58</v>
      </c>
      <c r="B36" s="239" t="b">
        <v>0</v>
      </c>
    </row>
    <row r="37" spans="1:4" ht="15.6">
      <c r="A37" s="182" t="s">
        <v>59</v>
      </c>
      <c r="B37" s="239" t="b">
        <v>0</v>
      </c>
    </row>
    <row r="38" spans="1:4" ht="15.6">
      <c r="A38" s="184" t="s">
        <v>60</v>
      </c>
    </row>
    <row r="39" spans="1:4" ht="30.95">
      <c r="A39" s="182" t="s">
        <v>61</v>
      </c>
      <c r="B39" s="239" t="b">
        <v>0</v>
      </c>
    </row>
    <row r="40" spans="1:4" ht="15" thickBot="1"/>
    <row r="41" spans="1:4" ht="15.6">
      <c r="A41" s="179" t="s">
        <v>71</v>
      </c>
      <c r="B41" s="179"/>
    </row>
    <row r="42" spans="1:4" ht="15.6">
      <c r="A42" s="181" t="s">
        <v>43</v>
      </c>
      <c r="C42" s="340"/>
      <c r="D42" s="341"/>
    </row>
    <row r="43" spans="1:4" ht="30.95">
      <c r="A43" s="182" t="s">
        <v>72</v>
      </c>
      <c r="B43" s="239" t="b">
        <v>0</v>
      </c>
    </row>
    <row r="44" spans="1:4" ht="15.6">
      <c r="A44" s="180" t="s">
        <v>47</v>
      </c>
      <c r="B44" s="239" t="b">
        <v>0</v>
      </c>
    </row>
    <row r="45" spans="1:4" ht="15.6">
      <c r="A45" s="180" t="s">
        <v>73</v>
      </c>
      <c r="B45" s="239" t="b">
        <v>0</v>
      </c>
    </row>
    <row r="46" spans="1:4" ht="30.95">
      <c r="A46" s="182" t="s">
        <v>74</v>
      </c>
      <c r="B46" s="239" t="b">
        <v>0</v>
      </c>
    </row>
    <row r="47" spans="1:4" ht="30.95">
      <c r="A47" s="182" t="s">
        <v>75</v>
      </c>
      <c r="B47" s="241" t="b">
        <v>0</v>
      </c>
    </row>
    <row r="50" spans="1:1">
      <c r="A50" s="338" t="s">
        <v>37</v>
      </c>
    </row>
    <row r="51" spans="1:1">
      <c r="A51" s="339">
        <v>3</v>
      </c>
    </row>
    <row r="52" spans="1:1">
      <c r="A52" s="340">
        <v>46041</v>
      </c>
    </row>
    <row r="53" spans="1:1">
      <c r="A53" s="341" t="s">
        <v>76</v>
      </c>
    </row>
    <row r="152" spans="47:50">
      <c r="AU152">
        <f>COUNTIF(B7:B37,TRUE)</f>
        <v>0</v>
      </c>
      <c r="AV152">
        <f>COUNTA(B7:B37)</f>
        <v>21</v>
      </c>
      <c r="AX152" t="s">
        <v>63</v>
      </c>
    </row>
    <row r="153" spans="47:50">
      <c r="AU153">
        <f>COUNTIF(B7:B37,FALSE)</f>
        <v>21</v>
      </c>
      <c r="AV153">
        <f>COUNTA(B7:B37)</f>
        <v>21</v>
      </c>
      <c r="AX153" s="119" t="s">
        <v>64</v>
      </c>
    </row>
  </sheetData>
  <sheetProtection algorithmName="SHA-512" hashValue="KDj9knk/lq6qwqMvwr5m+93XxFuhWHhDf2VboeVbAgB4VcshDowpG/mt5VRd3C687mwkRxX4Surm9dMcvlyOcA==" saltValue="rkF5caLJIusMH1HGn7jeow==" spinCount="100000" sheet="1" objects="1" scenarios="1"/>
  <conditionalFormatting sqref="A7:A11 A14:A18 A22 A24:A25">
    <cfRule type="expression" dxfId="301" priority="21">
      <formula>$B7</formula>
    </cfRule>
  </conditionalFormatting>
  <conditionalFormatting sqref="A29:A33">
    <cfRule type="expression" dxfId="300" priority="1">
      <formula>$B29</formula>
    </cfRule>
  </conditionalFormatting>
  <conditionalFormatting sqref="A34">
    <cfRule type="expression" dxfId="299" priority="18">
      <formula>$B34</formula>
    </cfRule>
  </conditionalFormatting>
  <conditionalFormatting sqref="A36:A39">
    <cfRule type="expression" dxfId="298" priority="17">
      <formula>$B36</formula>
    </cfRule>
  </conditionalFormatting>
  <conditionalFormatting sqref="A43:A45">
    <cfRule type="expression" dxfId="297" priority="2">
      <formula>$B43</formula>
    </cfRule>
  </conditionalFormatting>
  <conditionalFormatting sqref="A47">
    <cfRule type="expression" dxfId="296" priority="6">
      <formula>$B47</formula>
    </cfRule>
  </conditionalFormatting>
  <pageMargins left="0.7" right="0.7" top="0.75" bottom="0.75" header="0.3" footer="0.3"/>
  <pageSetup paperSize="9" orientation="portrait" r:id="rId1"/>
  <headerFooter>
    <oddHeader>&amp;L&amp;"Calibri"&amp;12&amp;K000000 OFFICIAL&amp;1#_x000D_</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1269" r:id="rId4" name="Check Box 5">
              <controlPr defaultSize="0" autoFill="0" autoLine="0" autoPict="0">
                <anchor moveWithCells="1">
                  <from>
                    <xdr:col>1</xdr:col>
                    <xdr:colOff>31750</xdr:colOff>
                    <xdr:row>6</xdr:row>
                    <xdr:rowOff>0</xdr:rowOff>
                  </from>
                  <to>
                    <xdr:col>1</xdr:col>
                    <xdr:colOff>584200</xdr:colOff>
                    <xdr:row>7</xdr:row>
                    <xdr:rowOff>0</xdr:rowOff>
                  </to>
                </anchor>
              </controlPr>
            </control>
          </mc:Choice>
        </mc:AlternateContent>
        <mc:AlternateContent xmlns:mc="http://schemas.openxmlformats.org/markup-compatibility/2006">
          <mc:Choice Requires="x14">
            <control shapeId="11270" r:id="rId5" name="Check Box 6">
              <controlPr defaultSize="0" autoFill="0" autoLine="0" autoPict="0">
                <anchor moveWithCells="1">
                  <from>
                    <xdr:col>1</xdr:col>
                    <xdr:colOff>31750</xdr:colOff>
                    <xdr:row>7</xdr:row>
                    <xdr:rowOff>0</xdr:rowOff>
                  </from>
                  <to>
                    <xdr:col>1</xdr:col>
                    <xdr:colOff>584200</xdr:colOff>
                    <xdr:row>8</xdr:row>
                    <xdr:rowOff>0</xdr:rowOff>
                  </to>
                </anchor>
              </controlPr>
            </control>
          </mc:Choice>
        </mc:AlternateContent>
        <mc:AlternateContent xmlns:mc="http://schemas.openxmlformats.org/markup-compatibility/2006">
          <mc:Choice Requires="x14">
            <control shapeId="11271" r:id="rId6" name="Check Box 7">
              <controlPr defaultSize="0" autoFill="0" autoLine="0" autoPict="0">
                <anchor moveWithCells="1">
                  <from>
                    <xdr:col>1</xdr:col>
                    <xdr:colOff>31750</xdr:colOff>
                    <xdr:row>8</xdr:row>
                    <xdr:rowOff>0</xdr:rowOff>
                  </from>
                  <to>
                    <xdr:col>1</xdr:col>
                    <xdr:colOff>584200</xdr:colOff>
                    <xdr:row>9</xdr:row>
                    <xdr:rowOff>0</xdr:rowOff>
                  </to>
                </anchor>
              </controlPr>
            </control>
          </mc:Choice>
        </mc:AlternateContent>
        <mc:AlternateContent xmlns:mc="http://schemas.openxmlformats.org/markup-compatibility/2006">
          <mc:Choice Requires="x14">
            <control shapeId="11272" r:id="rId7" name="Check Box 8">
              <controlPr defaultSize="0" autoFill="0" autoLine="0" autoPict="0">
                <anchor moveWithCells="1">
                  <from>
                    <xdr:col>1</xdr:col>
                    <xdr:colOff>31750</xdr:colOff>
                    <xdr:row>9</xdr:row>
                    <xdr:rowOff>0</xdr:rowOff>
                  </from>
                  <to>
                    <xdr:col>1</xdr:col>
                    <xdr:colOff>584200</xdr:colOff>
                    <xdr:row>10</xdr:row>
                    <xdr:rowOff>0</xdr:rowOff>
                  </to>
                </anchor>
              </controlPr>
            </control>
          </mc:Choice>
        </mc:AlternateContent>
        <mc:AlternateContent xmlns:mc="http://schemas.openxmlformats.org/markup-compatibility/2006">
          <mc:Choice Requires="x14">
            <control shapeId="11273" r:id="rId8" name="Check Box 9">
              <controlPr defaultSize="0" autoFill="0" autoLine="0" autoPict="0">
                <anchor moveWithCells="1">
                  <from>
                    <xdr:col>1</xdr:col>
                    <xdr:colOff>31750</xdr:colOff>
                    <xdr:row>9</xdr:row>
                    <xdr:rowOff>0</xdr:rowOff>
                  </from>
                  <to>
                    <xdr:col>1</xdr:col>
                    <xdr:colOff>584200</xdr:colOff>
                    <xdr:row>10</xdr:row>
                    <xdr:rowOff>0</xdr:rowOff>
                  </to>
                </anchor>
              </controlPr>
            </control>
          </mc:Choice>
        </mc:AlternateContent>
        <mc:AlternateContent xmlns:mc="http://schemas.openxmlformats.org/markup-compatibility/2006">
          <mc:Choice Requires="x14">
            <control shapeId="11274" r:id="rId9" name="Check Box 10">
              <controlPr defaultSize="0" autoFill="0" autoLine="0" autoPict="0">
                <anchor moveWithCells="1">
                  <from>
                    <xdr:col>1</xdr:col>
                    <xdr:colOff>31750</xdr:colOff>
                    <xdr:row>19</xdr:row>
                    <xdr:rowOff>0</xdr:rowOff>
                  </from>
                  <to>
                    <xdr:col>1</xdr:col>
                    <xdr:colOff>584200</xdr:colOff>
                    <xdr:row>20</xdr:row>
                    <xdr:rowOff>0</xdr:rowOff>
                  </to>
                </anchor>
              </controlPr>
            </control>
          </mc:Choice>
        </mc:AlternateContent>
        <mc:AlternateContent xmlns:mc="http://schemas.openxmlformats.org/markup-compatibility/2006">
          <mc:Choice Requires="x14">
            <control shapeId="11275" r:id="rId10" name="Check Box 11">
              <controlPr defaultSize="0" autoFill="0" autoLine="0" autoPict="0">
                <anchor moveWithCells="1">
                  <from>
                    <xdr:col>1</xdr:col>
                    <xdr:colOff>31750</xdr:colOff>
                    <xdr:row>19</xdr:row>
                    <xdr:rowOff>0</xdr:rowOff>
                  </from>
                  <to>
                    <xdr:col>1</xdr:col>
                    <xdr:colOff>584200</xdr:colOff>
                    <xdr:row>20</xdr:row>
                    <xdr:rowOff>0</xdr:rowOff>
                  </to>
                </anchor>
              </controlPr>
            </control>
          </mc:Choice>
        </mc:AlternateContent>
        <mc:AlternateContent xmlns:mc="http://schemas.openxmlformats.org/markup-compatibility/2006">
          <mc:Choice Requires="x14">
            <control shapeId="11276" r:id="rId11" name="Check Box 12">
              <controlPr defaultSize="0" autoFill="0" autoLine="0" autoPict="0">
                <anchor moveWithCells="1">
                  <from>
                    <xdr:col>1</xdr:col>
                    <xdr:colOff>31750</xdr:colOff>
                    <xdr:row>19</xdr:row>
                    <xdr:rowOff>0</xdr:rowOff>
                  </from>
                  <to>
                    <xdr:col>1</xdr:col>
                    <xdr:colOff>584200</xdr:colOff>
                    <xdr:row>20</xdr:row>
                    <xdr:rowOff>0</xdr:rowOff>
                  </to>
                </anchor>
              </controlPr>
            </control>
          </mc:Choice>
        </mc:AlternateContent>
        <mc:AlternateContent xmlns:mc="http://schemas.openxmlformats.org/markup-compatibility/2006">
          <mc:Choice Requires="x14">
            <control shapeId="11278" r:id="rId12" name="Check Box 14">
              <controlPr defaultSize="0" autoFill="0" autoLine="0" autoPict="0">
                <anchor moveWithCells="1">
                  <from>
                    <xdr:col>1</xdr:col>
                    <xdr:colOff>31750</xdr:colOff>
                    <xdr:row>19</xdr:row>
                    <xdr:rowOff>0</xdr:rowOff>
                  </from>
                  <to>
                    <xdr:col>1</xdr:col>
                    <xdr:colOff>584200</xdr:colOff>
                    <xdr:row>20</xdr:row>
                    <xdr:rowOff>0</xdr:rowOff>
                  </to>
                </anchor>
              </controlPr>
            </control>
          </mc:Choice>
        </mc:AlternateContent>
        <mc:AlternateContent xmlns:mc="http://schemas.openxmlformats.org/markup-compatibility/2006">
          <mc:Choice Requires="x14">
            <control shapeId="11279" r:id="rId13" name="Check Box 15">
              <controlPr defaultSize="0" autoFill="0" autoLine="0" autoPict="0">
                <anchor moveWithCells="1">
                  <from>
                    <xdr:col>1</xdr:col>
                    <xdr:colOff>31750</xdr:colOff>
                    <xdr:row>19</xdr:row>
                    <xdr:rowOff>0</xdr:rowOff>
                  </from>
                  <to>
                    <xdr:col>1</xdr:col>
                    <xdr:colOff>584200</xdr:colOff>
                    <xdr:row>20</xdr:row>
                    <xdr:rowOff>0</xdr:rowOff>
                  </to>
                </anchor>
              </controlPr>
            </control>
          </mc:Choice>
        </mc:AlternateContent>
        <mc:AlternateContent xmlns:mc="http://schemas.openxmlformats.org/markup-compatibility/2006">
          <mc:Choice Requires="x14">
            <control shapeId="11280" r:id="rId14" name="Check Box 16">
              <controlPr defaultSize="0" autoFill="0" autoLine="0" autoPict="0">
                <anchor moveWithCells="1">
                  <from>
                    <xdr:col>1</xdr:col>
                    <xdr:colOff>31750</xdr:colOff>
                    <xdr:row>19</xdr:row>
                    <xdr:rowOff>0</xdr:rowOff>
                  </from>
                  <to>
                    <xdr:col>1</xdr:col>
                    <xdr:colOff>584200</xdr:colOff>
                    <xdr:row>20</xdr:row>
                    <xdr:rowOff>0</xdr:rowOff>
                  </to>
                </anchor>
              </controlPr>
            </control>
          </mc:Choice>
        </mc:AlternateContent>
        <mc:AlternateContent xmlns:mc="http://schemas.openxmlformats.org/markup-compatibility/2006">
          <mc:Choice Requires="x14">
            <control shapeId="11281" r:id="rId15" name="Check Box 17">
              <controlPr defaultSize="0" autoFill="0" autoLine="0" autoPict="0">
                <anchor moveWithCells="1">
                  <from>
                    <xdr:col>1</xdr:col>
                    <xdr:colOff>31750</xdr:colOff>
                    <xdr:row>28</xdr:row>
                    <xdr:rowOff>0</xdr:rowOff>
                  </from>
                  <to>
                    <xdr:col>1</xdr:col>
                    <xdr:colOff>584200</xdr:colOff>
                    <xdr:row>29</xdr:row>
                    <xdr:rowOff>0</xdr:rowOff>
                  </to>
                </anchor>
              </controlPr>
            </control>
          </mc:Choice>
        </mc:AlternateContent>
        <mc:AlternateContent xmlns:mc="http://schemas.openxmlformats.org/markup-compatibility/2006">
          <mc:Choice Requires="x14">
            <control shapeId="11282" r:id="rId16" name="Check Box 18">
              <controlPr defaultSize="0" autoFill="0" autoLine="0" autoPict="0">
                <anchor moveWithCells="1">
                  <from>
                    <xdr:col>1</xdr:col>
                    <xdr:colOff>31750</xdr:colOff>
                    <xdr:row>29</xdr:row>
                    <xdr:rowOff>0</xdr:rowOff>
                  </from>
                  <to>
                    <xdr:col>1</xdr:col>
                    <xdr:colOff>584200</xdr:colOff>
                    <xdr:row>30</xdr:row>
                    <xdr:rowOff>0</xdr:rowOff>
                  </to>
                </anchor>
              </controlPr>
            </control>
          </mc:Choice>
        </mc:AlternateContent>
        <mc:AlternateContent xmlns:mc="http://schemas.openxmlformats.org/markup-compatibility/2006">
          <mc:Choice Requires="x14">
            <control shapeId="11283" r:id="rId17" name="Check Box 19">
              <controlPr defaultSize="0" autoFill="0" autoLine="0" autoPict="0">
                <anchor moveWithCells="1">
                  <from>
                    <xdr:col>1</xdr:col>
                    <xdr:colOff>31750</xdr:colOff>
                    <xdr:row>29</xdr:row>
                    <xdr:rowOff>0</xdr:rowOff>
                  </from>
                  <to>
                    <xdr:col>1</xdr:col>
                    <xdr:colOff>584200</xdr:colOff>
                    <xdr:row>30</xdr:row>
                    <xdr:rowOff>0</xdr:rowOff>
                  </to>
                </anchor>
              </controlPr>
            </control>
          </mc:Choice>
        </mc:AlternateContent>
        <mc:AlternateContent xmlns:mc="http://schemas.openxmlformats.org/markup-compatibility/2006">
          <mc:Choice Requires="x14">
            <control shapeId="11284" r:id="rId18" name="Check Box 20">
              <controlPr defaultSize="0" autoFill="0" autoLine="0" autoPict="0">
                <anchor moveWithCells="1">
                  <from>
                    <xdr:col>1</xdr:col>
                    <xdr:colOff>31750</xdr:colOff>
                    <xdr:row>30</xdr:row>
                    <xdr:rowOff>0</xdr:rowOff>
                  </from>
                  <to>
                    <xdr:col>1</xdr:col>
                    <xdr:colOff>584200</xdr:colOff>
                    <xdr:row>31</xdr:row>
                    <xdr:rowOff>0</xdr:rowOff>
                  </to>
                </anchor>
              </controlPr>
            </control>
          </mc:Choice>
        </mc:AlternateContent>
        <mc:AlternateContent xmlns:mc="http://schemas.openxmlformats.org/markup-compatibility/2006">
          <mc:Choice Requires="x14">
            <control shapeId="11285" r:id="rId19" name="Check Box 21">
              <controlPr defaultSize="0" autoFill="0" autoLine="0" autoPict="0">
                <anchor moveWithCells="1">
                  <from>
                    <xdr:col>1</xdr:col>
                    <xdr:colOff>31750</xdr:colOff>
                    <xdr:row>32</xdr:row>
                    <xdr:rowOff>0</xdr:rowOff>
                  </from>
                  <to>
                    <xdr:col>1</xdr:col>
                    <xdr:colOff>584200</xdr:colOff>
                    <xdr:row>33</xdr:row>
                    <xdr:rowOff>0</xdr:rowOff>
                  </to>
                </anchor>
              </controlPr>
            </control>
          </mc:Choice>
        </mc:AlternateContent>
        <mc:AlternateContent xmlns:mc="http://schemas.openxmlformats.org/markup-compatibility/2006">
          <mc:Choice Requires="x14">
            <control shapeId="11286" r:id="rId20" name="Check Box 22">
              <controlPr defaultSize="0" autoFill="0" autoLine="0" autoPict="0">
                <anchor moveWithCells="1">
                  <from>
                    <xdr:col>1</xdr:col>
                    <xdr:colOff>31750</xdr:colOff>
                    <xdr:row>32</xdr:row>
                    <xdr:rowOff>0</xdr:rowOff>
                  </from>
                  <to>
                    <xdr:col>1</xdr:col>
                    <xdr:colOff>584200</xdr:colOff>
                    <xdr:row>33</xdr:row>
                    <xdr:rowOff>0</xdr:rowOff>
                  </to>
                </anchor>
              </controlPr>
            </control>
          </mc:Choice>
        </mc:AlternateContent>
        <mc:AlternateContent xmlns:mc="http://schemas.openxmlformats.org/markup-compatibility/2006">
          <mc:Choice Requires="x14">
            <control shapeId="11287" r:id="rId21" name="Check Box 23">
              <controlPr defaultSize="0" autoFill="0" autoLine="0" autoPict="0">
                <anchor moveWithCells="1">
                  <from>
                    <xdr:col>1</xdr:col>
                    <xdr:colOff>31750</xdr:colOff>
                    <xdr:row>33</xdr:row>
                    <xdr:rowOff>0</xdr:rowOff>
                  </from>
                  <to>
                    <xdr:col>1</xdr:col>
                    <xdr:colOff>584200</xdr:colOff>
                    <xdr:row>33</xdr:row>
                    <xdr:rowOff>190500</xdr:rowOff>
                  </to>
                </anchor>
              </controlPr>
            </control>
          </mc:Choice>
        </mc:AlternateContent>
        <mc:AlternateContent xmlns:mc="http://schemas.openxmlformats.org/markup-compatibility/2006">
          <mc:Choice Requires="x14">
            <control shapeId="11288" r:id="rId22" name="Check Box 24">
              <controlPr defaultSize="0" autoFill="0" autoLine="0" autoPict="0">
                <anchor moveWithCells="1">
                  <from>
                    <xdr:col>1</xdr:col>
                    <xdr:colOff>31750</xdr:colOff>
                    <xdr:row>35</xdr:row>
                    <xdr:rowOff>0</xdr:rowOff>
                  </from>
                  <to>
                    <xdr:col>1</xdr:col>
                    <xdr:colOff>584200</xdr:colOff>
                    <xdr:row>36</xdr:row>
                    <xdr:rowOff>0</xdr:rowOff>
                  </to>
                </anchor>
              </controlPr>
            </control>
          </mc:Choice>
        </mc:AlternateContent>
        <mc:AlternateContent xmlns:mc="http://schemas.openxmlformats.org/markup-compatibility/2006">
          <mc:Choice Requires="x14">
            <control shapeId="11289" r:id="rId23" name="Check Box 25">
              <controlPr defaultSize="0" autoFill="0" autoLine="0" autoPict="0">
                <anchor moveWithCells="1">
                  <from>
                    <xdr:col>1</xdr:col>
                    <xdr:colOff>31750</xdr:colOff>
                    <xdr:row>36</xdr:row>
                    <xdr:rowOff>0</xdr:rowOff>
                  </from>
                  <to>
                    <xdr:col>1</xdr:col>
                    <xdr:colOff>584200</xdr:colOff>
                    <xdr:row>37</xdr:row>
                    <xdr:rowOff>0</xdr:rowOff>
                  </to>
                </anchor>
              </controlPr>
            </control>
          </mc:Choice>
        </mc:AlternateContent>
        <mc:AlternateContent xmlns:mc="http://schemas.openxmlformats.org/markup-compatibility/2006">
          <mc:Choice Requires="x14">
            <control shapeId="11290" r:id="rId24" name="Check Box 26">
              <controlPr defaultSize="0" autoFill="0" autoLine="0" autoPict="0">
                <anchor moveWithCells="1">
                  <from>
                    <xdr:col>1</xdr:col>
                    <xdr:colOff>31750</xdr:colOff>
                    <xdr:row>38</xdr:row>
                    <xdr:rowOff>0</xdr:rowOff>
                  </from>
                  <to>
                    <xdr:col>1</xdr:col>
                    <xdr:colOff>584200</xdr:colOff>
                    <xdr:row>38</xdr:row>
                    <xdr:rowOff>190500</xdr:rowOff>
                  </to>
                </anchor>
              </controlPr>
            </control>
          </mc:Choice>
        </mc:AlternateContent>
        <mc:AlternateContent xmlns:mc="http://schemas.openxmlformats.org/markup-compatibility/2006">
          <mc:Choice Requires="x14">
            <control shapeId="11291" r:id="rId25" name="Check Box 27">
              <controlPr defaultSize="0" autoFill="0" autoLine="0" autoPict="0">
                <anchor moveWithCells="1">
                  <from>
                    <xdr:col>1</xdr:col>
                    <xdr:colOff>31750</xdr:colOff>
                    <xdr:row>19</xdr:row>
                    <xdr:rowOff>0</xdr:rowOff>
                  </from>
                  <to>
                    <xdr:col>1</xdr:col>
                    <xdr:colOff>584200</xdr:colOff>
                    <xdr:row>20</xdr:row>
                    <xdr:rowOff>0</xdr:rowOff>
                  </to>
                </anchor>
              </controlPr>
            </control>
          </mc:Choice>
        </mc:AlternateContent>
        <mc:AlternateContent xmlns:mc="http://schemas.openxmlformats.org/markup-compatibility/2006">
          <mc:Choice Requires="x14">
            <control shapeId="11292" r:id="rId26" name="Check Box 28">
              <controlPr defaultSize="0" autoFill="0" autoLine="0" autoPict="0">
                <anchor moveWithCells="1">
                  <from>
                    <xdr:col>1</xdr:col>
                    <xdr:colOff>31750</xdr:colOff>
                    <xdr:row>7</xdr:row>
                    <xdr:rowOff>0</xdr:rowOff>
                  </from>
                  <to>
                    <xdr:col>1</xdr:col>
                    <xdr:colOff>584200</xdr:colOff>
                    <xdr:row>8</xdr:row>
                    <xdr:rowOff>0</xdr:rowOff>
                  </to>
                </anchor>
              </controlPr>
            </control>
          </mc:Choice>
        </mc:AlternateContent>
        <mc:AlternateContent xmlns:mc="http://schemas.openxmlformats.org/markup-compatibility/2006">
          <mc:Choice Requires="x14">
            <control shapeId="11293" r:id="rId27" name="Check Box 29">
              <controlPr defaultSize="0" autoFill="0" autoLine="0" autoPict="0">
                <anchor moveWithCells="1">
                  <from>
                    <xdr:col>1</xdr:col>
                    <xdr:colOff>31750</xdr:colOff>
                    <xdr:row>8</xdr:row>
                    <xdr:rowOff>0</xdr:rowOff>
                  </from>
                  <to>
                    <xdr:col>1</xdr:col>
                    <xdr:colOff>584200</xdr:colOff>
                    <xdr:row>9</xdr:row>
                    <xdr:rowOff>0</xdr:rowOff>
                  </to>
                </anchor>
              </controlPr>
            </control>
          </mc:Choice>
        </mc:AlternateContent>
        <mc:AlternateContent xmlns:mc="http://schemas.openxmlformats.org/markup-compatibility/2006">
          <mc:Choice Requires="x14">
            <control shapeId="11294" r:id="rId28" name="Check Box 30">
              <controlPr defaultSize="0" autoFill="0" autoLine="0" autoPict="0">
                <anchor moveWithCells="1">
                  <from>
                    <xdr:col>1</xdr:col>
                    <xdr:colOff>31750</xdr:colOff>
                    <xdr:row>9</xdr:row>
                    <xdr:rowOff>0</xdr:rowOff>
                  </from>
                  <to>
                    <xdr:col>1</xdr:col>
                    <xdr:colOff>584200</xdr:colOff>
                    <xdr:row>10</xdr:row>
                    <xdr:rowOff>0</xdr:rowOff>
                  </to>
                </anchor>
              </controlPr>
            </control>
          </mc:Choice>
        </mc:AlternateContent>
        <mc:AlternateContent xmlns:mc="http://schemas.openxmlformats.org/markup-compatibility/2006">
          <mc:Choice Requires="x14">
            <control shapeId="11296" r:id="rId29" name="Check Box 32">
              <controlPr defaultSize="0" autoFill="0" autoLine="0" autoPict="0">
                <anchor moveWithCells="1">
                  <from>
                    <xdr:col>1</xdr:col>
                    <xdr:colOff>31750</xdr:colOff>
                    <xdr:row>13</xdr:row>
                    <xdr:rowOff>0</xdr:rowOff>
                  </from>
                  <to>
                    <xdr:col>1</xdr:col>
                    <xdr:colOff>584200</xdr:colOff>
                    <xdr:row>14</xdr:row>
                    <xdr:rowOff>0</xdr:rowOff>
                  </to>
                </anchor>
              </controlPr>
            </control>
          </mc:Choice>
        </mc:AlternateContent>
        <mc:AlternateContent xmlns:mc="http://schemas.openxmlformats.org/markup-compatibility/2006">
          <mc:Choice Requires="x14">
            <control shapeId="11297" r:id="rId30" name="Check Box 33">
              <controlPr defaultSize="0" autoFill="0" autoLine="0" autoPict="0">
                <anchor moveWithCells="1">
                  <from>
                    <xdr:col>1</xdr:col>
                    <xdr:colOff>31750</xdr:colOff>
                    <xdr:row>14</xdr:row>
                    <xdr:rowOff>0</xdr:rowOff>
                  </from>
                  <to>
                    <xdr:col>1</xdr:col>
                    <xdr:colOff>584200</xdr:colOff>
                    <xdr:row>15</xdr:row>
                    <xdr:rowOff>0</xdr:rowOff>
                  </to>
                </anchor>
              </controlPr>
            </control>
          </mc:Choice>
        </mc:AlternateContent>
        <mc:AlternateContent xmlns:mc="http://schemas.openxmlformats.org/markup-compatibility/2006">
          <mc:Choice Requires="x14">
            <control shapeId="11298" r:id="rId31" name="Check Box 34">
              <controlPr defaultSize="0" autoFill="0" autoLine="0" autoPict="0">
                <anchor moveWithCells="1">
                  <from>
                    <xdr:col>1</xdr:col>
                    <xdr:colOff>31750</xdr:colOff>
                    <xdr:row>15</xdr:row>
                    <xdr:rowOff>0</xdr:rowOff>
                  </from>
                  <to>
                    <xdr:col>1</xdr:col>
                    <xdr:colOff>584200</xdr:colOff>
                    <xdr:row>16</xdr:row>
                    <xdr:rowOff>0</xdr:rowOff>
                  </to>
                </anchor>
              </controlPr>
            </control>
          </mc:Choice>
        </mc:AlternateContent>
        <mc:AlternateContent xmlns:mc="http://schemas.openxmlformats.org/markup-compatibility/2006">
          <mc:Choice Requires="x14">
            <control shapeId="11299" r:id="rId32" name="Check Box 35">
              <controlPr defaultSize="0" autoFill="0" autoLine="0" autoPict="0">
                <anchor moveWithCells="1">
                  <from>
                    <xdr:col>1</xdr:col>
                    <xdr:colOff>31750</xdr:colOff>
                    <xdr:row>15</xdr:row>
                    <xdr:rowOff>0</xdr:rowOff>
                  </from>
                  <to>
                    <xdr:col>1</xdr:col>
                    <xdr:colOff>584200</xdr:colOff>
                    <xdr:row>16</xdr:row>
                    <xdr:rowOff>0</xdr:rowOff>
                  </to>
                </anchor>
              </controlPr>
            </control>
          </mc:Choice>
        </mc:AlternateContent>
        <mc:AlternateContent xmlns:mc="http://schemas.openxmlformats.org/markup-compatibility/2006">
          <mc:Choice Requires="x14">
            <control shapeId="11300" r:id="rId33" name="Check Box 36">
              <controlPr defaultSize="0" autoFill="0" autoLine="0" autoPict="0">
                <anchor moveWithCells="1">
                  <from>
                    <xdr:col>1</xdr:col>
                    <xdr:colOff>31750</xdr:colOff>
                    <xdr:row>13</xdr:row>
                    <xdr:rowOff>0</xdr:rowOff>
                  </from>
                  <to>
                    <xdr:col>1</xdr:col>
                    <xdr:colOff>584200</xdr:colOff>
                    <xdr:row>14</xdr:row>
                    <xdr:rowOff>0</xdr:rowOff>
                  </to>
                </anchor>
              </controlPr>
            </control>
          </mc:Choice>
        </mc:AlternateContent>
        <mc:AlternateContent xmlns:mc="http://schemas.openxmlformats.org/markup-compatibility/2006">
          <mc:Choice Requires="x14">
            <control shapeId="11301" r:id="rId34" name="Check Box 37">
              <controlPr defaultSize="0" autoFill="0" autoLine="0" autoPict="0">
                <anchor moveWithCells="1">
                  <from>
                    <xdr:col>1</xdr:col>
                    <xdr:colOff>31750</xdr:colOff>
                    <xdr:row>14</xdr:row>
                    <xdr:rowOff>0</xdr:rowOff>
                  </from>
                  <to>
                    <xdr:col>1</xdr:col>
                    <xdr:colOff>584200</xdr:colOff>
                    <xdr:row>15</xdr:row>
                    <xdr:rowOff>0</xdr:rowOff>
                  </to>
                </anchor>
              </controlPr>
            </control>
          </mc:Choice>
        </mc:AlternateContent>
        <mc:AlternateContent xmlns:mc="http://schemas.openxmlformats.org/markup-compatibility/2006">
          <mc:Choice Requires="x14">
            <control shapeId="11302" r:id="rId35" name="Check Box 38">
              <controlPr defaultSize="0" autoFill="0" autoLine="0" autoPict="0">
                <anchor moveWithCells="1">
                  <from>
                    <xdr:col>1</xdr:col>
                    <xdr:colOff>31750</xdr:colOff>
                    <xdr:row>15</xdr:row>
                    <xdr:rowOff>0</xdr:rowOff>
                  </from>
                  <to>
                    <xdr:col>1</xdr:col>
                    <xdr:colOff>584200</xdr:colOff>
                    <xdr:row>16</xdr:row>
                    <xdr:rowOff>0</xdr:rowOff>
                  </to>
                </anchor>
              </controlPr>
            </control>
          </mc:Choice>
        </mc:AlternateContent>
        <mc:AlternateContent xmlns:mc="http://schemas.openxmlformats.org/markup-compatibility/2006">
          <mc:Choice Requires="x14">
            <control shapeId="11303" r:id="rId36" name="Check Box 39">
              <controlPr defaultSize="0" autoFill="0" autoLine="0" autoPict="0">
                <anchor moveWithCells="1">
                  <from>
                    <xdr:col>1</xdr:col>
                    <xdr:colOff>31750</xdr:colOff>
                    <xdr:row>17</xdr:row>
                    <xdr:rowOff>0</xdr:rowOff>
                  </from>
                  <to>
                    <xdr:col>1</xdr:col>
                    <xdr:colOff>584200</xdr:colOff>
                    <xdr:row>18</xdr:row>
                    <xdr:rowOff>0</xdr:rowOff>
                  </to>
                </anchor>
              </controlPr>
            </control>
          </mc:Choice>
        </mc:AlternateContent>
        <mc:AlternateContent xmlns:mc="http://schemas.openxmlformats.org/markup-compatibility/2006">
          <mc:Choice Requires="x14">
            <control shapeId="11304" r:id="rId37" name="Check Box 40">
              <controlPr defaultSize="0" autoFill="0" autoLine="0" autoPict="0">
                <anchor moveWithCells="1">
                  <from>
                    <xdr:col>1</xdr:col>
                    <xdr:colOff>31750</xdr:colOff>
                    <xdr:row>17</xdr:row>
                    <xdr:rowOff>0</xdr:rowOff>
                  </from>
                  <to>
                    <xdr:col>1</xdr:col>
                    <xdr:colOff>584200</xdr:colOff>
                    <xdr:row>18</xdr:row>
                    <xdr:rowOff>0</xdr:rowOff>
                  </to>
                </anchor>
              </controlPr>
            </control>
          </mc:Choice>
        </mc:AlternateContent>
        <mc:AlternateContent xmlns:mc="http://schemas.openxmlformats.org/markup-compatibility/2006">
          <mc:Choice Requires="x14">
            <control shapeId="11305" r:id="rId38" name="Check Box 41">
              <controlPr defaultSize="0" autoFill="0" autoLine="0" autoPict="0">
                <anchor moveWithCells="1">
                  <from>
                    <xdr:col>1</xdr:col>
                    <xdr:colOff>31750</xdr:colOff>
                    <xdr:row>17</xdr:row>
                    <xdr:rowOff>0</xdr:rowOff>
                  </from>
                  <to>
                    <xdr:col>1</xdr:col>
                    <xdr:colOff>584200</xdr:colOff>
                    <xdr:row>18</xdr:row>
                    <xdr:rowOff>0</xdr:rowOff>
                  </to>
                </anchor>
              </controlPr>
            </control>
          </mc:Choice>
        </mc:AlternateContent>
        <mc:AlternateContent xmlns:mc="http://schemas.openxmlformats.org/markup-compatibility/2006">
          <mc:Choice Requires="x14">
            <control shapeId="11312" r:id="rId39" name="Check Box 48">
              <controlPr defaultSize="0" autoFill="0" autoLine="0" autoPict="0">
                <anchor moveWithCells="1">
                  <from>
                    <xdr:col>1</xdr:col>
                    <xdr:colOff>31750</xdr:colOff>
                    <xdr:row>21</xdr:row>
                    <xdr:rowOff>0</xdr:rowOff>
                  </from>
                  <to>
                    <xdr:col>1</xdr:col>
                    <xdr:colOff>584200</xdr:colOff>
                    <xdr:row>22</xdr:row>
                    <xdr:rowOff>0</xdr:rowOff>
                  </to>
                </anchor>
              </controlPr>
            </control>
          </mc:Choice>
        </mc:AlternateContent>
        <mc:AlternateContent xmlns:mc="http://schemas.openxmlformats.org/markup-compatibility/2006">
          <mc:Choice Requires="x14">
            <control shapeId="11313" r:id="rId40" name="Check Box 49">
              <controlPr defaultSize="0" autoFill="0" autoLine="0" autoPict="0">
                <anchor moveWithCells="1">
                  <from>
                    <xdr:col>1</xdr:col>
                    <xdr:colOff>31750</xdr:colOff>
                    <xdr:row>21</xdr:row>
                    <xdr:rowOff>0</xdr:rowOff>
                  </from>
                  <to>
                    <xdr:col>1</xdr:col>
                    <xdr:colOff>584200</xdr:colOff>
                    <xdr:row>22</xdr:row>
                    <xdr:rowOff>0</xdr:rowOff>
                  </to>
                </anchor>
              </controlPr>
            </control>
          </mc:Choice>
        </mc:AlternateContent>
        <mc:AlternateContent xmlns:mc="http://schemas.openxmlformats.org/markup-compatibility/2006">
          <mc:Choice Requires="x14">
            <control shapeId="11314" r:id="rId41" name="Check Box 50">
              <controlPr defaultSize="0" autoFill="0" autoLine="0" autoPict="0">
                <anchor moveWithCells="1">
                  <from>
                    <xdr:col>1</xdr:col>
                    <xdr:colOff>31750</xdr:colOff>
                    <xdr:row>23</xdr:row>
                    <xdr:rowOff>0</xdr:rowOff>
                  </from>
                  <to>
                    <xdr:col>1</xdr:col>
                    <xdr:colOff>584200</xdr:colOff>
                    <xdr:row>24</xdr:row>
                    <xdr:rowOff>0</xdr:rowOff>
                  </to>
                </anchor>
              </controlPr>
            </control>
          </mc:Choice>
        </mc:AlternateContent>
        <mc:AlternateContent xmlns:mc="http://schemas.openxmlformats.org/markup-compatibility/2006">
          <mc:Choice Requires="x14">
            <control shapeId="11315" r:id="rId42" name="Check Box 51">
              <controlPr defaultSize="0" autoFill="0" autoLine="0" autoPict="0">
                <anchor moveWithCells="1">
                  <from>
                    <xdr:col>1</xdr:col>
                    <xdr:colOff>31750</xdr:colOff>
                    <xdr:row>24</xdr:row>
                    <xdr:rowOff>0</xdr:rowOff>
                  </from>
                  <to>
                    <xdr:col>1</xdr:col>
                    <xdr:colOff>584200</xdr:colOff>
                    <xdr:row>25</xdr:row>
                    <xdr:rowOff>0</xdr:rowOff>
                  </to>
                </anchor>
              </controlPr>
            </control>
          </mc:Choice>
        </mc:AlternateContent>
        <mc:AlternateContent xmlns:mc="http://schemas.openxmlformats.org/markup-compatibility/2006">
          <mc:Choice Requires="x14">
            <control shapeId="11316" r:id="rId43" name="Check Box 52">
              <controlPr defaultSize="0" autoFill="0" autoLine="0" autoPict="0">
                <anchor moveWithCells="1">
                  <from>
                    <xdr:col>1</xdr:col>
                    <xdr:colOff>31750</xdr:colOff>
                    <xdr:row>42</xdr:row>
                    <xdr:rowOff>0</xdr:rowOff>
                  </from>
                  <to>
                    <xdr:col>1</xdr:col>
                    <xdr:colOff>584200</xdr:colOff>
                    <xdr:row>42</xdr:row>
                    <xdr:rowOff>203200</xdr:rowOff>
                  </to>
                </anchor>
              </controlPr>
            </control>
          </mc:Choice>
        </mc:AlternateContent>
        <mc:AlternateContent xmlns:mc="http://schemas.openxmlformats.org/markup-compatibility/2006">
          <mc:Choice Requires="x14">
            <control shapeId="11317" r:id="rId44" name="Check Box 53">
              <controlPr defaultSize="0" autoFill="0" autoLine="0" autoPict="0">
                <anchor moveWithCells="1">
                  <from>
                    <xdr:col>1</xdr:col>
                    <xdr:colOff>31750</xdr:colOff>
                    <xdr:row>43</xdr:row>
                    <xdr:rowOff>0</xdr:rowOff>
                  </from>
                  <to>
                    <xdr:col>1</xdr:col>
                    <xdr:colOff>584200</xdr:colOff>
                    <xdr:row>44</xdr:row>
                    <xdr:rowOff>0</xdr:rowOff>
                  </to>
                </anchor>
              </controlPr>
            </control>
          </mc:Choice>
        </mc:AlternateContent>
        <mc:AlternateContent xmlns:mc="http://schemas.openxmlformats.org/markup-compatibility/2006">
          <mc:Choice Requires="x14">
            <control shapeId="11318" r:id="rId45" name="Check Box 54">
              <controlPr defaultSize="0" autoFill="0" autoLine="0" autoPict="0">
                <anchor moveWithCells="1">
                  <from>
                    <xdr:col>1</xdr:col>
                    <xdr:colOff>31750</xdr:colOff>
                    <xdr:row>43</xdr:row>
                    <xdr:rowOff>0</xdr:rowOff>
                  </from>
                  <to>
                    <xdr:col>1</xdr:col>
                    <xdr:colOff>584200</xdr:colOff>
                    <xdr:row>44</xdr:row>
                    <xdr:rowOff>0</xdr:rowOff>
                  </to>
                </anchor>
              </controlPr>
            </control>
          </mc:Choice>
        </mc:AlternateContent>
        <mc:AlternateContent xmlns:mc="http://schemas.openxmlformats.org/markup-compatibility/2006">
          <mc:Choice Requires="x14">
            <control shapeId="11319" r:id="rId46" name="Check Box 55">
              <controlPr defaultSize="0" autoFill="0" autoLine="0" autoPict="0">
                <anchor moveWithCells="1">
                  <from>
                    <xdr:col>1</xdr:col>
                    <xdr:colOff>31750</xdr:colOff>
                    <xdr:row>44</xdr:row>
                    <xdr:rowOff>0</xdr:rowOff>
                  </from>
                  <to>
                    <xdr:col>1</xdr:col>
                    <xdr:colOff>584200</xdr:colOff>
                    <xdr:row>45</xdr:row>
                    <xdr:rowOff>0</xdr:rowOff>
                  </to>
                </anchor>
              </controlPr>
            </control>
          </mc:Choice>
        </mc:AlternateContent>
        <mc:AlternateContent xmlns:mc="http://schemas.openxmlformats.org/markup-compatibility/2006">
          <mc:Choice Requires="x14">
            <control shapeId="11320" r:id="rId47" name="Check Box 56">
              <controlPr defaultSize="0" autoFill="0" autoLine="0" autoPict="0">
                <anchor moveWithCells="1">
                  <from>
                    <xdr:col>1</xdr:col>
                    <xdr:colOff>31750</xdr:colOff>
                    <xdr:row>45</xdr:row>
                    <xdr:rowOff>0</xdr:rowOff>
                  </from>
                  <to>
                    <xdr:col>1</xdr:col>
                    <xdr:colOff>584200</xdr:colOff>
                    <xdr:row>45</xdr:row>
                    <xdr:rowOff>203200</xdr:rowOff>
                  </to>
                </anchor>
              </controlPr>
            </control>
          </mc:Choice>
        </mc:AlternateContent>
        <mc:AlternateContent xmlns:mc="http://schemas.openxmlformats.org/markup-compatibility/2006">
          <mc:Choice Requires="x14">
            <control shapeId="11321" r:id="rId48" name="Check Box 57">
              <controlPr defaultSize="0" autoFill="0" autoLine="0" autoPict="0">
                <anchor moveWithCells="1">
                  <from>
                    <xdr:col>1</xdr:col>
                    <xdr:colOff>31750</xdr:colOff>
                    <xdr:row>45</xdr:row>
                    <xdr:rowOff>0</xdr:rowOff>
                  </from>
                  <to>
                    <xdr:col>1</xdr:col>
                    <xdr:colOff>584200</xdr:colOff>
                    <xdr:row>45</xdr:row>
                    <xdr:rowOff>203200</xdr:rowOff>
                  </to>
                </anchor>
              </controlPr>
            </control>
          </mc:Choice>
        </mc:AlternateContent>
        <mc:AlternateContent xmlns:mc="http://schemas.openxmlformats.org/markup-compatibility/2006">
          <mc:Choice Requires="x14">
            <control shapeId="11322" r:id="rId49" name="Check Box 58">
              <controlPr defaultSize="0" autoFill="0" autoLine="0" autoPict="0">
                <anchor moveWithCells="1">
                  <from>
                    <xdr:col>1</xdr:col>
                    <xdr:colOff>31750</xdr:colOff>
                    <xdr:row>46</xdr:row>
                    <xdr:rowOff>0</xdr:rowOff>
                  </from>
                  <to>
                    <xdr:col>1</xdr:col>
                    <xdr:colOff>584200</xdr:colOff>
                    <xdr:row>46</xdr:row>
                    <xdr:rowOff>190500</xdr:rowOff>
                  </to>
                </anchor>
              </controlPr>
            </control>
          </mc:Choice>
        </mc:AlternateContent>
        <mc:AlternateContent xmlns:mc="http://schemas.openxmlformats.org/markup-compatibility/2006">
          <mc:Choice Requires="x14">
            <control shapeId="11323" r:id="rId50" name="Check Box 59">
              <controlPr defaultSize="0" autoFill="0" autoLine="0" autoPict="0">
                <anchor moveWithCells="1">
                  <from>
                    <xdr:col>1</xdr:col>
                    <xdr:colOff>31750</xdr:colOff>
                    <xdr:row>16</xdr:row>
                    <xdr:rowOff>0</xdr:rowOff>
                  </from>
                  <to>
                    <xdr:col>1</xdr:col>
                    <xdr:colOff>584200</xdr:colOff>
                    <xdr:row>17</xdr:row>
                    <xdr:rowOff>0</xdr:rowOff>
                  </to>
                </anchor>
              </controlPr>
            </control>
          </mc:Choice>
        </mc:AlternateContent>
        <mc:AlternateContent xmlns:mc="http://schemas.openxmlformats.org/markup-compatibility/2006">
          <mc:Choice Requires="x14">
            <control shapeId="11324" r:id="rId51" name="Check Box 60">
              <controlPr defaultSize="0" autoFill="0" autoLine="0" autoPict="0">
                <anchor moveWithCells="1">
                  <from>
                    <xdr:col>1</xdr:col>
                    <xdr:colOff>31750</xdr:colOff>
                    <xdr:row>16</xdr:row>
                    <xdr:rowOff>0</xdr:rowOff>
                  </from>
                  <to>
                    <xdr:col>1</xdr:col>
                    <xdr:colOff>584200</xdr:colOff>
                    <xdr:row>17</xdr:row>
                    <xdr:rowOff>0</xdr:rowOff>
                  </to>
                </anchor>
              </controlPr>
            </control>
          </mc:Choice>
        </mc:AlternateContent>
        <mc:AlternateContent xmlns:mc="http://schemas.openxmlformats.org/markup-compatibility/2006">
          <mc:Choice Requires="x14">
            <control shapeId="11325" r:id="rId52" name="Check Box 61">
              <controlPr defaultSize="0" autoFill="0" autoLine="0" autoPict="0">
                <anchor moveWithCells="1">
                  <from>
                    <xdr:col>1</xdr:col>
                    <xdr:colOff>31750</xdr:colOff>
                    <xdr:row>16</xdr:row>
                    <xdr:rowOff>0</xdr:rowOff>
                  </from>
                  <to>
                    <xdr:col>1</xdr:col>
                    <xdr:colOff>584200</xdr:colOff>
                    <xdr:row>17</xdr:row>
                    <xdr:rowOff>0</xdr:rowOff>
                  </to>
                </anchor>
              </controlPr>
            </control>
          </mc:Choice>
        </mc:AlternateContent>
        <mc:AlternateContent xmlns:mc="http://schemas.openxmlformats.org/markup-compatibility/2006">
          <mc:Choice Requires="x14">
            <control shapeId="11326" r:id="rId53" name="Check Box 62">
              <controlPr defaultSize="0" autoFill="0" autoLine="0" autoPict="0">
                <anchor moveWithCells="1">
                  <from>
                    <xdr:col>1</xdr:col>
                    <xdr:colOff>31750</xdr:colOff>
                    <xdr:row>31</xdr:row>
                    <xdr:rowOff>0</xdr:rowOff>
                  </from>
                  <to>
                    <xdr:col>1</xdr:col>
                    <xdr:colOff>584200</xdr:colOff>
                    <xdr:row>32</xdr:row>
                    <xdr:rowOff>0</xdr:rowOff>
                  </to>
                </anchor>
              </controlPr>
            </control>
          </mc:Choice>
        </mc:AlternateContent>
        <mc:AlternateContent xmlns:mc="http://schemas.openxmlformats.org/markup-compatibility/2006">
          <mc:Choice Requires="x14">
            <control shapeId="11327" r:id="rId54" name="Check Box 63">
              <controlPr defaultSize="0" autoFill="0" autoLine="0" autoPict="0">
                <anchor moveWithCells="1">
                  <from>
                    <xdr:col>1</xdr:col>
                    <xdr:colOff>31750</xdr:colOff>
                    <xdr:row>31</xdr:row>
                    <xdr:rowOff>0</xdr:rowOff>
                  </from>
                  <to>
                    <xdr:col>1</xdr:col>
                    <xdr:colOff>584200</xdr:colOff>
                    <xdr:row>32</xdr:row>
                    <xdr:rowOff>0</xdr:rowOff>
                  </to>
                </anchor>
              </controlPr>
            </control>
          </mc:Choice>
        </mc:AlternateContent>
        <mc:AlternateContent xmlns:mc="http://schemas.openxmlformats.org/markup-compatibility/2006">
          <mc:Choice Requires="x14">
            <control shapeId="11328" r:id="rId55" name="Check Box 64">
              <controlPr defaultSize="0" autoFill="0" autoLine="0" autoPict="0">
                <anchor moveWithCells="1">
                  <from>
                    <xdr:col>1</xdr:col>
                    <xdr:colOff>31750</xdr:colOff>
                    <xdr:row>31</xdr:row>
                    <xdr:rowOff>0</xdr:rowOff>
                  </from>
                  <to>
                    <xdr:col>1</xdr:col>
                    <xdr:colOff>584200</xdr:colOff>
                    <xdr:row>32</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92442-EAD9-43FE-9621-96DC1300FACC}">
  <sheetPr>
    <tabColor theme="9" tint="-0.249977111117893"/>
  </sheetPr>
  <dimension ref="A1:AG67"/>
  <sheetViews>
    <sheetView workbookViewId="0"/>
  </sheetViews>
  <sheetFormatPr defaultColWidth="9.140625" defaultRowHeight="14.45"/>
  <cols>
    <col min="1" max="1" width="42" style="3" customWidth="1"/>
    <col min="2" max="2" width="15.7109375" style="3" customWidth="1"/>
    <col min="3" max="3" width="17.140625" style="3" customWidth="1"/>
    <col min="4" max="4" width="16.140625" style="3" customWidth="1"/>
    <col min="5" max="5" width="35.42578125" style="3" customWidth="1"/>
    <col min="6" max="31" width="9.140625" style="146" customWidth="1"/>
    <col min="32" max="32" width="9.140625" style="3" hidden="1" customWidth="1"/>
    <col min="33" max="33" width="9.140625" style="215" hidden="1" customWidth="1"/>
    <col min="34" max="34" width="0" style="3" hidden="1" customWidth="1"/>
    <col min="35" max="16384" width="9.140625" style="3"/>
  </cols>
  <sheetData>
    <row r="1" spans="1:5" ht="74.25" customHeight="1">
      <c r="A1" s="13"/>
      <c r="B1" s="448" t="s">
        <v>77</v>
      </c>
      <c r="C1" s="448"/>
      <c r="D1" s="448"/>
      <c r="E1" s="448"/>
    </row>
    <row r="3" spans="1:5" ht="15.6">
      <c r="B3" s="138" t="s">
        <v>78</v>
      </c>
    </row>
    <row r="4" spans="1:5" ht="15.6">
      <c r="B4" s="441" t="s">
        <v>79</v>
      </c>
    </row>
    <row r="5" spans="1:5" ht="15.6">
      <c r="B5" s="139" t="s">
        <v>80</v>
      </c>
      <c r="E5" s="20"/>
    </row>
    <row r="6" spans="1:5">
      <c r="E6" s="20"/>
    </row>
    <row r="7" spans="1:5" ht="20.100000000000001" customHeight="1">
      <c r="A7" s="121" t="s">
        <v>81</v>
      </c>
      <c r="B7" s="449"/>
      <c r="C7" s="449"/>
      <c r="D7" s="449"/>
      <c r="E7" s="20"/>
    </row>
    <row r="8" spans="1:5" ht="20.100000000000001" customHeight="1">
      <c r="A8" s="121" t="s">
        <v>82</v>
      </c>
      <c r="B8" s="120" t="s">
        <v>83</v>
      </c>
      <c r="C8" s="443"/>
      <c r="D8" s="443"/>
      <c r="E8" s="20"/>
    </row>
    <row r="9" spans="1:5" ht="15" thickBot="1"/>
    <row r="10" spans="1:5" ht="31.5" thickBot="1">
      <c r="A10" s="140" t="s">
        <v>84</v>
      </c>
      <c r="B10" s="150" t="s">
        <v>85</v>
      </c>
      <c r="C10" s="150" t="s">
        <v>86</v>
      </c>
      <c r="D10" s="150" t="s">
        <v>87</v>
      </c>
      <c r="E10" s="150" t="s">
        <v>88</v>
      </c>
    </row>
    <row r="11" spans="1:5" ht="15.95" thickBot="1">
      <c r="A11" s="214" t="s">
        <v>89</v>
      </c>
      <c r="B11" s="192"/>
      <c r="C11" s="161" t="s">
        <v>90</v>
      </c>
      <c r="D11" s="190">
        <f>B11</f>
        <v>0</v>
      </c>
      <c r="E11" s="439"/>
    </row>
    <row r="12" spans="1:5" ht="15.95" thickBot="1">
      <c r="A12" s="450" t="s">
        <v>91</v>
      </c>
      <c r="B12" s="451" t="s">
        <v>92</v>
      </c>
      <c r="C12" s="451"/>
      <c r="D12" s="451"/>
      <c r="E12" s="451"/>
    </row>
    <row r="13" spans="1:5" ht="15.95" thickBot="1">
      <c r="A13" s="141" t="s">
        <v>91</v>
      </c>
      <c r="B13" s="217">
        <v>0</v>
      </c>
      <c r="C13" s="217">
        <v>0</v>
      </c>
      <c r="D13" s="190">
        <f>SUM(B13:C13)</f>
        <v>0</v>
      </c>
      <c r="E13" s="439"/>
    </row>
    <row r="14" spans="1:5" ht="15.95" thickBot="1">
      <c r="A14" s="141" t="s">
        <v>93</v>
      </c>
      <c r="B14" s="217">
        <v>0</v>
      </c>
      <c r="C14" s="217">
        <v>0</v>
      </c>
      <c r="D14" s="190">
        <f>SUM(B14:C14)</f>
        <v>0</v>
      </c>
      <c r="E14" s="439"/>
    </row>
    <row r="15" spans="1:5" ht="15.95" thickBot="1">
      <c r="A15" s="162" t="s">
        <v>94</v>
      </c>
      <c r="B15" s="191">
        <f>SUM(B13:B14)</f>
        <v>0</v>
      </c>
      <c r="C15" s="191">
        <f t="shared" ref="C15:D15" si="0">SUM(C13:C14)</f>
        <v>0</v>
      </c>
      <c r="D15" s="191">
        <f t="shared" si="0"/>
        <v>0</v>
      </c>
      <c r="E15" s="210"/>
    </row>
    <row r="16" spans="1:5" ht="15.6">
      <c r="A16" s="450" t="s">
        <v>95</v>
      </c>
      <c r="B16" s="451" t="s">
        <v>96</v>
      </c>
      <c r="C16" s="451"/>
      <c r="D16" s="451"/>
      <c r="E16" s="451"/>
    </row>
    <row r="17" spans="1:5" ht="15.95" thickBot="1">
      <c r="A17" s="141" t="s">
        <v>97</v>
      </c>
      <c r="B17" s="217">
        <v>0</v>
      </c>
      <c r="C17" s="217">
        <v>0</v>
      </c>
      <c r="D17" s="190">
        <f>SUM(B17:C17)</f>
        <v>0</v>
      </c>
      <c r="E17" s="218"/>
    </row>
    <row r="18" spans="1:5" ht="15.95" thickBot="1">
      <c r="A18" s="141" t="s">
        <v>98</v>
      </c>
      <c r="B18" s="217">
        <v>0</v>
      </c>
      <c r="C18" s="217">
        <v>0</v>
      </c>
      <c r="D18" s="190">
        <f t="shared" ref="D18:D20" si="1">SUM(B18:C18)</f>
        <v>0</v>
      </c>
      <c r="E18" s="218"/>
    </row>
    <row r="19" spans="1:5" ht="15.95" thickBot="1">
      <c r="A19" s="141" t="s">
        <v>99</v>
      </c>
      <c r="B19" s="217">
        <v>0</v>
      </c>
      <c r="C19" s="217">
        <v>0</v>
      </c>
      <c r="D19" s="190">
        <f t="shared" si="1"/>
        <v>0</v>
      </c>
      <c r="E19" s="218"/>
    </row>
    <row r="20" spans="1:5" ht="15.95" thickBot="1">
      <c r="A20" s="141" t="s">
        <v>100</v>
      </c>
      <c r="B20" s="217">
        <v>0</v>
      </c>
      <c r="C20" s="217">
        <v>0</v>
      </c>
      <c r="D20" s="190">
        <f t="shared" si="1"/>
        <v>0</v>
      </c>
      <c r="E20" s="218"/>
    </row>
    <row r="21" spans="1:5" ht="15.6">
      <c r="A21" s="162" t="s">
        <v>101</v>
      </c>
      <c r="B21" s="191">
        <f>SUM(B17:B20)</f>
        <v>0</v>
      </c>
      <c r="C21" s="191">
        <f>SUM(C17:C20)</f>
        <v>0</v>
      </c>
      <c r="D21" s="191">
        <f>SUM(D17:D20)</f>
        <v>0</v>
      </c>
      <c r="E21" s="163"/>
    </row>
    <row r="22" spans="1:5" ht="15.6">
      <c r="A22" s="450" t="s">
        <v>102</v>
      </c>
      <c r="B22" s="451" t="s">
        <v>96</v>
      </c>
      <c r="C22" s="451"/>
      <c r="D22" s="451"/>
      <c r="E22" s="451"/>
    </row>
    <row r="23" spans="1:5" ht="15.95" thickBot="1">
      <c r="A23" s="141" t="s">
        <v>103</v>
      </c>
      <c r="B23" s="217">
        <v>0</v>
      </c>
      <c r="C23" s="217">
        <v>0</v>
      </c>
      <c r="D23" s="190">
        <f t="shared" ref="D23:D32" si="2">SUM(B23:C23)</f>
        <v>0</v>
      </c>
      <c r="E23" s="438"/>
    </row>
    <row r="24" spans="1:5" ht="15.95" thickBot="1">
      <c r="A24" s="141" t="s">
        <v>104</v>
      </c>
      <c r="B24" s="217">
        <v>0</v>
      </c>
      <c r="C24" s="217">
        <v>0</v>
      </c>
      <c r="D24" s="190">
        <f t="shared" si="2"/>
        <v>0</v>
      </c>
      <c r="E24" s="439"/>
    </row>
    <row r="25" spans="1:5" ht="15.95" thickBot="1">
      <c r="A25" s="141" t="s">
        <v>105</v>
      </c>
      <c r="B25" s="217">
        <v>0</v>
      </c>
      <c r="C25" s="217">
        <v>0</v>
      </c>
      <c r="D25" s="190">
        <f t="shared" si="2"/>
        <v>0</v>
      </c>
      <c r="E25" s="439"/>
    </row>
    <row r="26" spans="1:5" ht="15.95" thickBot="1">
      <c r="A26" s="141" t="s">
        <v>106</v>
      </c>
      <c r="B26" s="217">
        <v>0</v>
      </c>
      <c r="C26" s="217">
        <v>0</v>
      </c>
      <c r="D26" s="190">
        <f t="shared" si="2"/>
        <v>0</v>
      </c>
      <c r="E26" s="439"/>
    </row>
    <row r="27" spans="1:5" ht="15.95" thickBot="1">
      <c r="A27" s="141" t="s">
        <v>107</v>
      </c>
      <c r="B27" s="217">
        <v>0</v>
      </c>
      <c r="C27" s="217">
        <v>0</v>
      </c>
      <c r="D27" s="190">
        <f t="shared" si="2"/>
        <v>0</v>
      </c>
      <c r="E27" s="439"/>
    </row>
    <row r="28" spans="1:5" ht="15.95" thickBot="1">
      <c r="A28" s="141" t="s">
        <v>108</v>
      </c>
      <c r="B28" s="217">
        <v>0</v>
      </c>
      <c r="C28" s="217">
        <v>0</v>
      </c>
      <c r="D28" s="190">
        <f t="shared" si="2"/>
        <v>0</v>
      </c>
      <c r="E28" s="439"/>
    </row>
    <row r="29" spans="1:5" ht="15.95" thickBot="1">
      <c r="A29" s="141" t="s">
        <v>109</v>
      </c>
      <c r="B29" s="217">
        <v>0</v>
      </c>
      <c r="C29" s="217">
        <v>0</v>
      </c>
      <c r="D29" s="190">
        <f t="shared" si="2"/>
        <v>0</v>
      </c>
      <c r="E29" s="218"/>
    </row>
    <row r="30" spans="1:5" ht="15.95" thickBot="1">
      <c r="A30" s="141" t="s">
        <v>110</v>
      </c>
      <c r="B30" s="217">
        <v>0</v>
      </c>
      <c r="C30" s="217">
        <v>0</v>
      </c>
      <c r="D30" s="190">
        <f>SUM(B30:C30)</f>
        <v>0</v>
      </c>
      <c r="E30" s="218"/>
    </row>
    <row r="31" spans="1:5" ht="15.95" thickBot="1">
      <c r="A31" s="141" t="s">
        <v>111</v>
      </c>
      <c r="B31" s="217">
        <v>0</v>
      </c>
      <c r="C31" s="217">
        <v>0</v>
      </c>
      <c r="D31" s="190">
        <f t="shared" si="2"/>
        <v>0</v>
      </c>
      <c r="E31" s="439"/>
    </row>
    <row r="32" spans="1:5" ht="15.95" thickBot="1">
      <c r="A32" s="141" t="s">
        <v>112</v>
      </c>
      <c r="B32" s="217">
        <v>0</v>
      </c>
      <c r="C32" s="217">
        <v>0</v>
      </c>
      <c r="D32" s="190">
        <f t="shared" si="2"/>
        <v>0</v>
      </c>
      <c r="E32" s="219"/>
    </row>
    <row r="33" spans="1:33" ht="15.95" thickBot="1">
      <c r="A33" s="162" t="s">
        <v>113</v>
      </c>
      <c r="B33" s="191">
        <f>SUM(B23:B32)</f>
        <v>0</v>
      </c>
      <c r="C33" s="191">
        <f>SUM(C23:C32)</f>
        <v>0</v>
      </c>
      <c r="D33" s="191">
        <f>SUM(D23:D32)</f>
        <v>0</v>
      </c>
      <c r="E33" s="164"/>
    </row>
    <row r="34" spans="1:33" ht="15.95" thickBot="1">
      <c r="A34" s="162" t="s">
        <v>114</v>
      </c>
      <c r="B34" s="191">
        <f>SUM(B33,B21)</f>
        <v>0</v>
      </c>
      <c r="C34" s="191">
        <f t="shared" ref="C34:D34" si="3">SUM(C33,C21)</f>
        <v>0</v>
      </c>
      <c r="D34" s="191">
        <f t="shared" si="3"/>
        <v>0</v>
      </c>
      <c r="E34" s="164"/>
    </row>
    <row r="35" spans="1:33" ht="15.95" thickBot="1">
      <c r="A35" s="162" t="s">
        <v>115</v>
      </c>
      <c r="B35" s="191">
        <f>B15-B34+B11</f>
        <v>0</v>
      </c>
      <c r="C35" s="191">
        <f>C15-C34</f>
        <v>0</v>
      </c>
      <c r="D35" s="191">
        <f t="shared" ref="D35" si="4">D15-D34+D11</f>
        <v>0</v>
      </c>
      <c r="E35" s="165"/>
    </row>
    <row r="36" spans="1:33">
      <c r="A36" s="7"/>
      <c r="B36" s="7"/>
      <c r="C36" s="7"/>
      <c r="D36" s="7"/>
      <c r="E36" s="7"/>
    </row>
    <row r="38" spans="1:33" ht="15.6">
      <c r="A38" s="446" t="s">
        <v>116</v>
      </c>
      <c r="B38" s="447" t="s">
        <v>92</v>
      </c>
      <c r="C38" s="447"/>
      <c r="D38" s="447"/>
      <c r="E38" s="447"/>
    </row>
    <row r="39" spans="1:33">
      <c r="A39" s="194" t="str" cm="1">
        <f t="array" ref="A39">_xlfn._xlws.FILTER(AG39:AG67,AF39:AF67=FALSE,"")</f>
        <v/>
      </c>
      <c r="B39" s="46"/>
      <c r="C39" s="46"/>
      <c r="D39" s="46"/>
      <c r="E39" s="46"/>
      <c r="AF39" s="146" t="b">
        <f t="shared" ref="AF39:AF67" si="5">AG39=""</f>
        <v>1</v>
      </c>
      <c r="AG39" s="216" t="str">
        <f>IF(AND(B17 &gt;= 1, B17 &lt;= 32500), "Jul-Dec 2023 - Coordinator Salary lower than average. Provide details in comments if this line item has an orange background", IF(B17 &gt; 44000, "Jul-Dec 2023 - Coordinator Salary higher than average. Provide details in comments if this line item has an orange background", ""))</f>
        <v/>
      </c>
    </row>
    <row r="40" spans="1:33">
      <c r="A40" s="194"/>
      <c r="B40" s="46"/>
      <c r="C40" s="46"/>
      <c r="D40" s="46"/>
      <c r="E40" s="46"/>
      <c r="AF40" s="146" t="b">
        <f t="shared" si="5"/>
        <v>1</v>
      </c>
      <c r="AG40" s="216" t="str">
        <f>IF(AND(C17 &gt;= 1, C17 &lt;= 32500), "Jan-Jun 2024 - Coordinator Salary lower than average. Provide details in comments if this line item has an orange background", IF(C17 &gt; 44000, "Jan-Jun 2024 - Coordinator Salary higher than average. Provide details in comments if this line item has an orange background", ""))</f>
        <v/>
      </c>
    </row>
    <row r="41" spans="1:33">
      <c r="A41" s="194"/>
      <c r="B41" s="46"/>
      <c r="C41" s="46"/>
      <c r="D41" s="46"/>
      <c r="E41" s="46"/>
      <c r="AF41" s="146" t="b">
        <f t="shared" si="5"/>
        <v>1</v>
      </c>
      <c r="AG41" s="216" t="str">
        <f>IF(AND(B18 &gt;= 1, B18 &lt;= 5000), "Jul-Dec 2023 - Line Manager Salary lower than average. Provide details in comments if this line item has an orange background", IF(B18 &gt; 7500, "Jul-Dec 2023 - Line Manager Salary higher than average. Provide details in comments if this line item has an orange background", ""))</f>
        <v/>
      </c>
    </row>
    <row r="42" spans="1:33">
      <c r="A42" s="194"/>
      <c r="B42" s="46"/>
      <c r="C42" s="46"/>
      <c r="D42" s="46"/>
      <c r="E42" s="46"/>
      <c r="AF42" s="146" t="b">
        <f t="shared" si="5"/>
        <v>1</v>
      </c>
      <c r="AG42" s="216" t="str">
        <f>IF(B25&gt;5000,"Meetings and Gatherings higher than average, please provide details in the comments section","")</f>
        <v/>
      </c>
    </row>
    <row r="43" spans="1:33">
      <c r="A43" s="194"/>
      <c r="B43" s="46"/>
      <c r="C43" s="46"/>
      <c r="D43" s="46"/>
      <c r="E43" s="46"/>
      <c r="AF43" s="146" t="b">
        <f t="shared" si="5"/>
        <v>1</v>
      </c>
      <c r="AG43" s="216" t="str">
        <f>IF(C25&gt;5000,"Meetings and Gatherings higher than average, please provide details in the comments section","")</f>
        <v/>
      </c>
    </row>
    <row r="44" spans="1:33">
      <c r="A44" s="194"/>
      <c r="B44" s="46"/>
      <c r="C44" s="46"/>
      <c r="D44" s="46"/>
      <c r="E44" s="46"/>
      <c r="AF44" s="146" t="b">
        <f t="shared" si="5"/>
        <v>1</v>
      </c>
      <c r="AG44" s="216" t="str">
        <f>IF(D25&gt;10000,"Meetings and Gatherings higher than average, please provide details in the comments section","")</f>
        <v/>
      </c>
    </row>
    <row r="45" spans="1:33">
      <c r="A45" s="194"/>
      <c r="B45" s="46"/>
      <c r="C45" s="46"/>
      <c r="D45" s="46"/>
      <c r="E45" s="46"/>
      <c r="AF45" s="146" t="b">
        <f t="shared" si="5"/>
        <v>1</v>
      </c>
      <c r="AG45" s="216" t="str">
        <f>IF(AND(C18 &gt;= 1, C18 &lt;= 5000), "Jan-Jun 2024 - Line Manager Salary lower than average. Provide details in comments if this line item has an orange background", IF(C18 &gt; 7500, "Jan-Jun 2024 - Line Manager Salary higher than average. Provide details in comments if this line item has an orange background", ""))</f>
        <v/>
      </c>
    </row>
    <row r="46" spans="1:33">
      <c r="A46" s="46"/>
      <c r="B46" s="46"/>
      <c r="C46" s="46"/>
      <c r="D46" s="46"/>
      <c r="E46" s="46"/>
      <c r="AF46" s="146" t="b">
        <f t="shared" si="5"/>
        <v>1</v>
      </c>
      <c r="AG46" s="216" t="str">
        <f>IF((B31+C31)&gt;5000,"Please provide details of the inclusions in the comments section","")</f>
        <v/>
      </c>
    </row>
    <row r="47" spans="1:33">
      <c r="A47" s="46"/>
      <c r="B47" s="46"/>
      <c r="C47" s="46"/>
      <c r="D47" s="46"/>
      <c r="E47" s="46"/>
      <c r="AF47" s="146" t="b">
        <f t="shared" si="5"/>
        <v>1</v>
      </c>
      <c r="AG47" s="216" t="str">
        <f>IFERROR(IF(D32/D13&gt;0.15,"Jul-Dec 2023 Actuals - Overheads higher than 15%. Provide details in comments if this line item has an orange background",""),"")</f>
        <v/>
      </c>
    </row>
    <row r="48" spans="1:33">
      <c r="AF48" s="146" t="b">
        <f t="shared" si="5"/>
        <v>1</v>
      </c>
      <c r="AG48" s="216" t="str">
        <f>IFERROR(IF(B32/B13&gt;0.15,"Jan-Jun 2024 Actuals - Overheads higher than 15%. Provide details in comments if this line item has an orange background",""),"")</f>
        <v/>
      </c>
    </row>
    <row r="49" spans="1:33" ht="15.6">
      <c r="A49" s="109" t="s">
        <v>62</v>
      </c>
      <c r="AF49" s="146" t="b">
        <f t="shared" si="5"/>
        <v>1</v>
      </c>
      <c r="AG49" s="216" t="str">
        <f>IFERROR(IF(C32/C13&gt;0.15,"Total FY23/24 - Overheads higher than 15%. Provide details in comments if this line item has an orange background",""),"")</f>
        <v/>
      </c>
    </row>
    <row r="50" spans="1:33">
      <c r="AF50" s="146" t="b">
        <f t="shared" si="5"/>
        <v>1</v>
      </c>
      <c r="AG50" s="216" t="str">
        <f>IF(B20&gt;(B17+B18+B19)*20%,"Jul-Dec 2023 - Other employment higher than average. Please provide details","")</f>
        <v/>
      </c>
    </row>
    <row r="51" spans="1:33">
      <c r="AF51" s="146" t="b">
        <f t="shared" si="5"/>
        <v>1</v>
      </c>
      <c r="AG51" s="216" t="str">
        <f>IF(C18+C19+C20&gt;0.2,"Jan-Jun 2024 - Other employment higher than average. Please provide details in the comments section","")</f>
        <v/>
      </c>
    </row>
    <row r="52" spans="1:33">
      <c r="AF52" s="146" t="b">
        <f t="shared" si="5"/>
        <v>1</v>
      </c>
      <c r="AG52" s="215" t="str">
        <f>IF(B23&gt;7000,"Jul-Dec 2023 - Property Costs higher than avererage. Please provide details in the comments section","")</f>
        <v/>
      </c>
    </row>
    <row r="53" spans="1:33">
      <c r="AF53" s="146" t="b">
        <f t="shared" si="5"/>
        <v>1</v>
      </c>
      <c r="AG53" s="215" t="str">
        <f>IF(C23&gt;7000,"Jan-Jul 2024 - Property Costs higher than avererage. Please provide details in the comments section","")</f>
        <v/>
      </c>
    </row>
    <row r="54" spans="1:33">
      <c r="AF54" s="146" t="b">
        <f t="shared" si="5"/>
        <v>1</v>
      </c>
      <c r="AG54" s="215" t="str">
        <f>IF(B26&gt;4000,"Jul-Dec 2023 - Office Costs higher than avererage. Please provide details in the comments section","")</f>
        <v/>
      </c>
    </row>
    <row r="55" spans="1:33">
      <c r="AF55" s="146" t="b">
        <f t="shared" si="5"/>
        <v>1</v>
      </c>
      <c r="AG55" s="215" t="str">
        <f>IF(C26&gt;4000,"Jan-Jul 2024 - Office Costs higher than avererage. Please provide details in the comments section","")</f>
        <v/>
      </c>
    </row>
    <row r="56" spans="1:33">
      <c r="AF56" s="146" t="b">
        <f t="shared" si="5"/>
        <v>1</v>
      </c>
      <c r="AG56" s="215" t="str">
        <f>IF(B28&gt;4000,"Jul-Dec 2023 - Travel Costs higher than avererage. Please provide details in the comments section","")</f>
        <v/>
      </c>
    </row>
    <row r="57" spans="1:33">
      <c r="AF57" s="146" t="b">
        <f t="shared" si="5"/>
        <v>1</v>
      </c>
      <c r="AG57" s="215" t="str">
        <f>IF(C28&gt;4000,"Jan-Jun 2024 - Travel Costs higher than avererage. Please provide details in the comments section","")</f>
        <v/>
      </c>
    </row>
    <row r="58" spans="1:33">
      <c r="AF58" s="146" t="b">
        <f t="shared" si="5"/>
        <v>1</v>
      </c>
      <c r="AG58" s="215" t="str">
        <f>IF(AND(B29&lt;2000,B29&gt;1),"Jul-Dec 2023 - Professional development Coordinator lower than avererage. Please provide details in the comments section","")</f>
        <v/>
      </c>
    </row>
    <row r="59" spans="1:33">
      <c r="AF59" s="146" t="b">
        <f t="shared" si="5"/>
        <v>1</v>
      </c>
      <c r="AG59" s="215" t="str">
        <f>IF(B29&gt;5000,"Jul-Dec 2023 - Professional development Coordinator higher than avererage. Please provide details in the comments section","")</f>
        <v/>
      </c>
    </row>
    <row r="60" spans="1:33">
      <c r="AF60" s="146" t="b">
        <f t="shared" si="5"/>
        <v>1</v>
      </c>
      <c r="AG60" s="215" t="str">
        <f>IF(AND(B30&lt;4000,B30&gt;1),"Jul-Dec 2023 - Professional development Tutors lower than avererage. Please provide details in the comments section","")</f>
        <v/>
      </c>
    </row>
    <row r="61" spans="1:33">
      <c r="AF61" s="146" t="b">
        <f t="shared" si="5"/>
        <v>1</v>
      </c>
      <c r="AG61" s="215" t="str">
        <f>IF(B30&gt;7000,"Jul-Dec 2023 - Professional development Tutor higher than avererage. Please provide details in the comments section","")</f>
        <v/>
      </c>
    </row>
    <row r="62" spans="1:33">
      <c r="AF62" s="146" t="b">
        <f t="shared" si="5"/>
        <v>1</v>
      </c>
      <c r="AG62" s="215" t="str">
        <f>IF(AND(C29&lt;2000,C29&gt;1),"Jan-Jun 2024 - Professional development Coordinator lower than avererage. Please provide details in the comments section","")</f>
        <v/>
      </c>
    </row>
    <row r="63" spans="1:33">
      <c r="AF63" s="146" t="b">
        <f t="shared" si="5"/>
        <v>1</v>
      </c>
      <c r="AG63" s="215" t="str">
        <f>IF(C29&gt;5000,"Jan-Jun 2024 - Professional development Coordinator higher than avererage. Please provide details in the comments section","")</f>
        <v/>
      </c>
    </row>
    <row r="64" spans="1:33">
      <c r="AF64" s="146" t="b">
        <f t="shared" si="5"/>
        <v>1</v>
      </c>
      <c r="AG64" s="215" t="str">
        <f>IF(AND(C30&lt;4000,C30&gt;1),"Jan-Jun 2024 - Professional development Tutors lower than avererage. Please provide details in the comments section","")</f>
        <v/>
      </c>
    </row>
    <row r="65" spans="32:33">
      <c r="AF65" s="146" t="b">
        <f t="shared" si="5"/>
        <v>1</v>
      </c>
      <c r="AG65" s="215" t="str">
        <f>IF(C30&gt;7000,"Jan-Jun 2024 - Professional development Tutor higher than avererage. Please provide details in the comments section","")</f>
        <v/>
      </c>
    </row>
    <row r="66" spans="32:33">
      <c r="AF66" s="146" t="b">
        <f t="shared" si="5"/>
        <v>1</v>
      </c>
      <c r="AG66" s="215" t="str">
        <f>IF(B31&gt;5000,"Jul-Dec 2023 - Other - higher than avererage. Please provide details in the comments section","")</f>
        <v/>
      </c>
    </row>
    <row r="67" spans="32:33">
      <c r="AF67" s="146" t="b">
        <f t="shared" si="5"/>
        <v>1</v>
      </c>
      <c r="AG67" s="215" t="str">
        <f>IF(C31&gt;5000,"Jan-Jun 2024 - Other - higher than avererage. Please provide details in the comments section","")</f>
        <v/>
      </c>
    </row>
  </sheetData>
  <sheetProtection formatCells="0" formatColumns="0" formatRows="0" insertColumns="0" insertRows="0" deleteColumns="0" deleteRows="0"/>
  <mergeCells count="6">
    <mergeCell ref="A38:E38"/>
    <mergeCell ref="B1:E1"/>
    <mergeCell ref="B7:D7"/>
    <mergeCell ref="A12:E12"/>
    <mergeCell ref="A16:E16"/>
    <mergeCell ref="A22:E22"/>
  </mergeCells>
  <conditionalFormatting sqref="B20">
    <cfRule type="expression" dxfId="295" priority="57">
      <formula>$B$20&gt;($B$17+$B$18+$B$19)*20%</formula>
    </cfRule>
  </conditionalFormatting>
  <conditionalFormatting sqref="B30">
    <cfRule type="expression" dxfId="294" priority="29">
      <formula>AND($B$30&gt;1,$B$30&lt;4000)</formula>
    </cfRule>
  </conditionalFormatting>
  <conditionalFormatting sqref="B32">
    <cfRule type="expression" dxfId="293" priority="85">
      <formula>$B$32/$B$13&gt;0.15</formula>
    </cfRule>
  </conditionalFormatting>
  <conditionalFormatting sqref="B17:C17">
    <cfRule type="cellIs" dxfId="292" priority="79" operator="between">
      <formula>1</formula>
      <formula>32500</formula>
    </cfRule>
    <cfRule type="cellIs" dxfId="291" priority="78" operator="greaterThan">
      <formula>44000</formula>
    </cfRule>
  </conditionalFormatting>
  <conditionalFormatting sqref="B18:C18">
    <cfRule type="cellIs" dxfId="290" priority="72" operator="greaterThan">
      <formula>7500</formula>
    </cfRule>
  </conditionalFormatting>
  <conditionalFormatting sqref="B23:C23">
    <cfRule type="cellIs" dxfId="289" priority="50" operator="greaterThan">
      <formula>7000</formula>
    </cfRule>
  </conditionalFormatting>
  <conditionalFormatting sqref="B25:C25">
    <cfRule type="cellIs" dxfId="288" priority="7" operator="greaterThan">
      <formula>5000</formula>
    </cfRule>
  </conditionalFormatting>
  <conditionalFormatting sqref="B26:C26">
    <cfRule type="cellIs" dxfId="287" priority="46" operator="greaterThan">
      <formula>4000</formula>
    </cfRule>
  </conditionalFormatting>
  <conditionalFormatting sqref="B28:C28">
    <cfRule type="cellIs" dxfId="286" priority="40" operator="greaterThan">
      <formula>4000</formula>
    </cfRule>
  </conditionalFormatting>
  <conditionalFormatting sqref="B29:C29">
    <cfRule type="cellIs" dxfId="285" priority="26" operator="between">
      <formula>1</formula>
      <formula>2000</formula>
    </cfRule>
  </conditionalFormatting>
  <conditionalFormatting sqref="B30:C30">
    <cfRule type="cellIs" dxfId="284" priority="16" operator="greaterThan">
      <formula>5000</formula>
    </cfRule>
  </conditionalFormatting>
  <conditionalFormatting sqref="B18:D18">
    <cfRule type="cellIs" dxfId="283" priority="71" operator="between">
      <formula>1</formula>
      <formula>5000</formula>
    </cfRule>
  </conditionalFormatting>
  <conditionalFormatting sqref="B29:D29">
    <cfRule type="cellIs" dxfId="282" priority="23" operator="greaterThan">
      <formula>5000</formula>
    </cfRule>
  </conditionalFormatting>
  <conditionalFormatting sqref="B31:D31">
    <cfRule type="cellIs" dxfId="281" priority="31" operator="greaterThan">
      <formula>5000</formula>
    </cfRule>
  </conditionalFormatting>
  <conditionalFormatting sqref="C20">
    <cfRule type="expression" dxfId="280" priority="56">
      <formula>$C$20&gt;($C$17+$C$18+$C$19)*20%</formula>
    </cfRule>
  </conditionalFormatting>
  <conditionalFormatting sqref="C26">
    <cfRule type="cellIs" dxfId="279" priority="47" operator="greaterThan">
      <formula>8000</formula>
    </cfRule>
  </conditionalFormatting>
  <conditionalFormatting sqref="C30">
    <cfRule type="cellIs" dxfId="278" priority="17" operator="between">
      <formula>1</formula>
      <formula>4000</formula>
    </cfRule>
  </conditionalFormatting>
  <conditionalFormatting sqref="C32">
    <cfRule type="expression" dxfId="277" priority="84">
      <formula>$C$32/$C$13&gt;0.15</formula>
    </cfRule>
  </conditionalFormatting>
  <conditionalFormatting sqref="D17">
    <cfRule type="cellIs" dxfId="276" priority="65" operator="greaterThan">
      <formula>88000</formula>
    </cfRule>
    <cfRule type="expression" dxfId="275" priority="86">
      <formula>AND($B$17&gt;1,$B$17&lt;32500)</formula>
    </cfRule>
    <cfRule type="expression" dxfId="274" priority="66">
      <formula>AND($C$17&gt;1,$C$17&lt;32500)</formula>
    </cfRule>
  </conditionalFormatting>
  <conditionalFormatting sqref="D18">
    <cfRule type="expression" dxfId="273" priority="63">
      <formula>C18&gt;7500</formula>
    </cfRule>
    <cfRule type="expression" dxfId="272" priority="70">
      <formula>$B$18&gt;7500</formula>
    </cfRule>
  </conditionalFormatting>
  <conditionalFormatting sqref="D20">
    <cfRule type="expression" dxfId="271" priority="55">
      <formula>$D$20&gt;($D$17+$D$18+$D$19)*20%</formula>
    </cfRule>
  </conditionalFormatting>
  <conditionalFormatting sqref="D23">
    <cfRule type="cellIs" dxfId="270" priority="49" operator="greaterThan">
      <formula>14000</formula>
    </cfRule>
  </conditionalFormatting>
  <conditionalFormatting sqref="D25">
    <cfRule type="cellIs" dxfId="269" priority="6" operator="greaterThan">
      <formula>10000</formula>
    </cfRule>
  </conditionalFormatting>
  <conditionalFormatting sqref="D26">
    <cfRule type="expression" dxfId="268" priority="45">
      <formula>($B$26+$C$26)&gt;8000</formula>
    </cfRule>
  </conditionalFormatting>
  <conditionalFormatting sqref="D28">
    <cfRule type="expression" dxfId="267" priority="37">
      <formula>"($B$28+$C$28)&gt;8000"</formula>
    </cfRule>
    <cfRule type="expression" dxfId="266" priority="39">
      <formula>$B$28&gt;4000</formula>
    </cfRule>
    <cfRule type="expression" dxfId="265" priority="38">
      <formula>$C$28&gt;4000</formula>
    </cfRule>
  </conditionalFormatting>
  <conditionalFormatting sqref="D29">
    <cfRule type="cellIs" dxfId="264" priority="24" operator="between">
      <formula>1</formula>
      <formula>4000</formula>
    </cfRule>
  </conditionalFormatting>
  <conditionalFormatting sqref="D30">
    <cfRule type="cellIs" dxfId="263" priority="13" operator="greaterThan">
      <formula>10000</formula>
    </cfRule>
    <cfRule type="expression" dxfId="262" priority="15">
      <formula>AND($C$30&gt;1,$C$30&lt;4000)</formula>
    </cfRule>
    <cfRule type="expression" dxfId="261" priority="14">
      <formula>AND($B$30&gt;1,$B$30&lt;4000)</formula>
    </cfRule>
  </conditionalFormatting>
  <conditionalFormatting sqref="D32">
    <cfRule type="expression" dxfId="260" priority="82">
      <formula>$D$32/$D$13&gt;0.15</formula>
    </cfRule>
  </conditionalFormatting>
  <conditionalFormatting sqref="E17">
    <cfRule type="expression" dxfId="259" priority="64">
      <formula>$B$17&gt;44000</formula>
    </cfRule>
    <cfRule type="expression" dxfId="258" priority="67">
      <formula>C17&gt;44000</formula>
    </cfRule>
    <cfRule type="expression" dxfId="257" priority="68">
      <formula>AND($C$17&gt;1,$C$17&lt;32500)</formula>
    </cfRule>
    <cfRule type="expression" dxfId="256" priority="69">
      <formula>AND($B$17&gt;1,$B$17&lt;32500)</formula>
    </cfRule>
  </conditionalFormatting>
  <conditionalFormatting sqref="E18">
    <cfRule type="expression" dxfId="255" priority="60">
      <formula>AND($B$18&gt;1,$B$18&lt;5000)</formula>
    </cfRule>
    <cfRule type="expression" dxfId="254" priority="61">
      <formula>$C$18&gt;10000</formula>
    </cfRule>
    <cfRule type="expression" dxfId="253" priority="62">
      <formula>$B$18&gt;10000</formula>
    </cfRule>
    <cfRule type="expression" dxfId="252" priority="59">
      <formula>AND(C18&gt;1,C18&lt;5000)</formula>
    </cfRule>
  </conditionalFormatting>
  <conditionalFormatting sqref="E20">
    <cfRule type="expression" dxfId="251" priority="53">
      <formula>$C$20&gt;($C$17+$C$18+$C$19)*20%</formula>
    </cfRule>
    <cfRule type="expression" dxfId="250" priority="52">
      <formula>$D$20&gt;($D$17+$D$18+$D$19)*20%</formula>
    </cfRule>
    <cfRule type="expression" dxfId="249" priority="54">
      <formula>$B$20&gt;($B$17+$B$18+$B$19)*20%</formula>
    </cfRule>
  </conditionalFormatting>
  <conditionalFormatting sqref="E23">
    <cfRule type="expression" dxfId="248" priority="3">
      <formula>$D$23&gt;14000</formula>
    </cfRule>
    <cfRule type="expression" dxfId="247" priority="4">
      <formula>$C$23&gt;7000</formula>
    </cfRule>
    <cfRule type="expression" dxfId="246" priority="30">
      <formula>$B$23&gt;7000</formula>
    </cfRule>
  </conditionalFormatting>
  <conditionalFormatting sqref="E25">
    <cfRule type="expression" dxfId="245" priority="5">
      <formula>$B$25&gt;5000</formula>
    </cfRule>
    <cfRule type="expression" dxfId="244" priority="1">
      <formula>$D$25&gt;10000</formula>
    </cfRule>
    <cfRule type="expression" dxfId="243" priority="2">
      <formula>$C$25&gt;5000</formula>
    </cfRule>
  </conditionalFormatting>
  <conditionalFormatting sqref="E26">
    <cfRule type="expression" dxfId="242" priority="44">
      <formula>$B$26&gt;4000</formula>
    </cfRule>
    <cfRule type="expression" dxfId="241" priority="42">
      <formula>"($B$26+$C$26)&gt;8000"</formula>
    </cfRule>
    <cfRule type="expression" dxfId="240" priority="43">
      <formula>$C$26&gt;4000</formula>
    </cfRule>
  </conditionalFormatting>
  <conditionalFormatting sqref="E28">
    <cfRule type="expression" dxfId="239" priority="36">
      <formula>$B$28&gt;4000</formula>
    </cfRule>
    <cfRule type="expression" dxfId="238" priority="34">
      <formula>"($B$28+$C$28)&gt;8000"</formula>
    </cfRule>
    <cfRule type="expression" dxfId="237" priority="35">
      <formula>$C$28&gt;4000</formula>
    </cfRule>
  </conditionalFormatting>
  <conditionalFormatting sqref="E29">
    <cfRule type="expression" dxfId="236" priority="22">
      <formula>AND($C$29&gt;1,$C$29&lt;2000)</formula>
    </cfRule>
    <cfRule type="expression" dxfId="235" priority="21">
      <formula>AND($B$29&gt;1,$B$29&lt;2000)</formula>
    </cfRule>
    <cfRule type="expression" dxfId="234" priority="19">
      <formula>$B$29&gt;5000</formula>
    </cfRule>
    <cfRule type="expression" dxfId="233" priority="20">
      <formula>$C$29&gt;5000</formula>
    </cfRule>
  </conditionalFormatting>
  <conditionalFormatting sqref="E30">
    <cfRule type="expression" dxfId="232" priority="9">
      <formula>$B$30&gt;5000</formula>
    </cfRule>
    <cfRule type="expression" dxfId="231" priority="10">
      <formula>$C$30&gt;5000</formula>
    </cfRule>
    <cfRule type="expression" dxfId="230" priority="12">
      <formula>AND($C$30&gt;1,$C$30&lt;4000)</formula>
    </cfRule>
    <cfRule type="expression" dxfId="229" priority="11">
      <formula>AND($B$30&gt;1,$B$30&lt;4000)</formula>
    </cfRule>
  </conditionalFormatting>
  <conditionalFormatting sqref="E31">
    <cfRule type="expression" dxfId="228" priority="58">
      <formula>($B$31+$C$31)&gt;5000</formula>
    </cfRule>
  </conditionalFormatting>
  <conditionalFormatting sqref="E32">
    <cfRule type="expression" dxfId="227" priority="77">
      <formula>$B$32/$B$13&gt;0.15</formula>
    </cfRule>
    <cfRule type="expression" dxfId="226" priority="83">
      <formula>$D$32/$D$13&gt;0.15</formula>
    </cfRule>
    <cfRule type="expression" dxfId="225" priority="76">
      <formula>$C$32/$C$13&gt;0.15</formula>
    </cfRule>
  </conditionalFormatting>
  <hyperlinks>
    <hyperlink ref="A11" location="Instructions!A6" display="Approved FY22/23 surplus" xr:uid="{CD272EB6-EA5B-421B-92B2-999A9D2DB2FC}"/>
    <hyperlink ref="A13" location="Instructions!A7" display="Income from HIPPY Australia" xr:uid="{65222334-088F-4E82-A62C-A3144D0646E3}"/>
    <hyperlink ref="A14" location="Instructions!A8" display="Other income" xr:uid="{DB224D9E-16BF-4C7B-AC89-1C096E6950F9}"/>
    <hyperlink ref="A17" location="Instructions!A9" display="Coordinator(s)" xr:uid="{459DE76B-5B2F-4251-9D35-984D2C0C002D}"/>
    <hyperlink ref="A18" location="Instructions!A10" display="Line Manager(s)" xr:uid="{B7137B22-3A32-4952-A5A9-DB5C3B64B219}"/>
    <hyperlink ref="A19" location="Instructions!A11" display="Tutors" xr:uid="{93821759-ED39-42E8-B0AC-8E4D9C564D65}"/>
    <hyperlink ref="A20" location="Instructions!A12" display="Other employment" xr:uid="{B2C7FA6A-3324-4DEA-A6E7-E99300591E75}"/>
    <hyperlink ref="A23" location="Instructions!A13" display="Property costs" xr:uid="{F1449D47-762B-4E5B-8794-EB9DE16D36F7}"/>
    <hyperlink ref="A24" location="Instructions!A14" display="Materials &amp; resources" xr:uid="{4280ADD7-198A-4D4E-BCAE-1E04AD515049}"/>
    <hyperlink ref="A25" location="Instructions!A15" display="Meetings &amp; gatherings" xr:uid="{0F87E87A-725C-488A-9F11-6AD04C01CF42}"/>
    <hyperlink ref="A27" location="Instructions!A17" display="Promotional costs" xr:uid="{B391F95D-4D3E-4FFD-9068-9670A2E692BC}"/>
    <hyperlink ref="A28" location="Instructions!A18" display="Travel" xr:uid="{99E7A38F-3A60-4DCC-8495-F505C96C260C}"/>
    <hyperlink ref="A29" location="Instructions!A19" display="Professional development - Coordinator" xr:uid="{4F48A8D9-DD55-4FC2-8C04-87CFB9736778}"/>
    <hyperlink ref="A31" location="Instructions!A21" display="Other " xr:uid="{2DF48D7B-A32F-4F7C-A339-A67FD69CCF1A}"/>
    <hyperlink ref="A32" location="Instructions!A22" display="Overhead costs" xr:uid="{ED34D1C1-0BD5-4420-B7F3-27E3545E5519}"/>
    <hyperlink ref="A26" location="Instructions!A16" display="Office costs" xr:uid="{E31FB03C-1CC0-4946-A696-0461D6884D3E}"/>
    <hyperlink ref="A30" location="Instructions!A20" display="Professional development - Tutors" xr:uid="{AC812937-D82F-48CF-ACDC-92022A039722}"/>
  </hyperlinks>
  <printOptions horizontalCentered="1" verticalCentered="1"/>
  <pageMargins left="0.7" right="0.7" top="0.75" bottom="0.75" header="0.3" footer="0.3"/>
  <pageSetup paperSize="9" scale="75" orientation="portrait" r:id="rId1"/>
  <headerFooter>
    <oddHeader>&amp;L&amp;"Calibri"&amp;12&amp;K000000 OFFICIAL&amp;1#_x000D_</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D4DBD-CC02-4D0B-87A5-BC61227E2525}">
  <sheetPr>
    <tabColor theme="4" tint="-0.499984740745262"/>
  </sheetPr>
  <dimension ref="A1:AL76"/>
  <sheetViews>
    <sheetView workbookViewId="0"/>
  </sheetViews>
  <sheetFormatPr defaultColWidth="9.140625" defaultRowHeight="14.45"/>
  <cols>
    <col min="1" max="1" width="42" style="3" customWidth="1"/>
    <col min="2" max="2" width="21.7109375" style="3" customWidth="1"/>
    <col min="3" max="3" width="40.42578125" style="3" customWidth="1"/>
    <col min="4" max="4" width="19.42578125" style="3" customWidth="1"/>
    <col min="5" max="5" width="20" style="3" customWidth="1"/>
    <col min="6" max="30" width="9.140625" style="3"/>
    <col min="31" max="31" width="12.28515625" style="3" bestFit="1" customWidth="1"/>
    <col min="32" max="35" width="9.140625" style="3"/>
    <col min="36" max="37" width="9.140625" style="3" hidden="1" customWidth="1"/>
    <col min="38" max="38" width="0" style="3" hidden="1" customWidth="1"/>
    <col min="39" max="16384" width="9.140625" style="3"/>
  </cols>
  <sheetData>
    <row r="1" spans="1:5" ht="75" customHeight="1">
      <c r="B1" s="448" t="s">
        <v>117</v>
      </c>
      <c r="C1" s="448"/>
      <c r="D1" s="448"/>
      <c r="E1" s="448"/>
    </row>
    <row r="3" spans="1:5">
      <c r="B3" s="143" t="s">
        <v>78</v>
      </c>
    </row>
    <row r="4" spans="1:5">
      <c r="B4" s="144" t="s">
        <v>118</v>
      </c>
    </row>
    <row r="5" spans="1:5">
      <c r="B5" s="145" t="s">
        <v>80</v>
      </c>
    </row>
    <row r="6" spans="1:5">
      <c r="A6" s="285"/>
      <c r="B6" s="285"/>
      <c r="C6" s="285"/>
      <c r="D6" s="285"/>
      <c r="E6" s="285"/>
    </row>
    <row r="7" spans="1:5" ht="15">
      <c r="A7" s="286" t="s">
        <v>81</v>
      </c>
      <c r="B7" s="527"/>
      <c r="C7" s="527"/>
      <c r="D7" s="527"/>
      <c r="E7" s="287"/>
    </row>
    <row r="8" spans="1:5" ht="15">
      <c r="A8" s="286" t="s">
        <v>119</v>
      </c>
      <c r="B8" s="288" t="s">
        <v>120</v>
      </c>
      <c r="C8" s="289"/>
      <c r="D8" s="289"/>
      <c r="E8" s="289"/>
    </row>
    <row r="9" spans="1:5" ht="15" thickBot="1">
      <c r="A9" s="285"/>
      <c r="B9" s="285"/>
      <c r="C9" s="285"/>
      <c r="D9" s="285"/>
      <c r="E9" s="285"/>
    </row>
    <row r="10" spans="1:5" ht="24">
      <c r="A10" s="290" t="s">
        <v>84</v>
      </c>
      <c r="B10" s="291" t="s">
        <v>121</v>
      </c>
      <c r="C10" s="528" t="s">
        <v>88</v>
      </c>
      <c r="D10" s="529"/>
      <c r="E10" s="285"/>
    </row>
    <row r="11" spans="1:5" ht="15.95" thickBot="1">
      <c r="A11" s="292" t="s">
        <v>122</v>
      </c>
      <c r="B11" s="220">
        <v>0</v>
      </c>
      <c r="C11" s="530"/>
      <c r="D11" s="531"/>
      <c r="E11" s="285"/>
    </row>
    <row r="12" spans="1:5" ht="15.6">
      <c r="A12" s="514" t="s">
        <v>123</v>
      </c>
      <c r="B12" s="515"/>
      <c r="C12" s="515"/>
      <c r="D12" s="515"/>
      <c r="E12" s="285"/>
    </row>
    <row r="13" spans="1:5" ht="15.95" thickBot="1">
      <c r="A13" s="293" t="s">
        <v>91</v>
      </c>
      <c r="B13" s="220">
        <v>0</v>
      </c>
      <c r="C13" s="525"/>
      <c r="D13" s="526"/>
      <c r="E13" s="285"/>
    </row>
    <row r="14" spans="1:5" ht="15.95" thickBot="1">
      <c r="A14" s="293" t="s">
        <v>93</v>
      </c>
      <c r="B14" s="220">
        <v>0</v>
      </c>
      <c r="C14" s="498"/>
      <c r="D14" s="511"/>
      <c r="E14" s="285"/>
    </row>
    <row r="15" spans="1:5" ht="15.95" thickBot="1">
      <c r="A15" s="294" t="s">
        <v>94</v>
      </c>
      <c r="B15" s="295">
        <f>SUM(B13:B14)</f>
        <v>0</v>
      </c>
      <c r="C15" s="512"/>
      <c r="D15" s="513"/>
      <c r="E15" s="285"/>
    </row>
    <row r="16" spans="1:5" ht="15.75" customHeight="1">
      <c r="A16" s="514" t="s">
        <v>95</v>
      </c>
      <c r="B16" s="515"/>
      <c r="C16" s="515"/>
      <c r="D16" s="515"/>
      <c r="E16" s="285"/>
    </row>
    <row r="17" spans="1:5" ht="15.95" thickBot="1">
      <c r="A17" s="293" t="s">
        <v>97</v>
      </c>
      <c r="B17" s="217">
        <v>0</v>
      </c>
      <c r="C17" s="516"/>
      <c r="D17" s="517"/>
      <c r="E17" s="285"/>
    </row>
    <row r="18" spans="1:5" ht="15.95" thickBot="1">
      <c r="A18" s="293" t="s">
        <v>98</v>
      </c>
      <c r="B18" s="217">
        <v>0</v>
      </c>
      <c r="C18" s="500"/>
      <c r="D18" s="518"/>
      <c r="E18" s="285"/>
    </row>
    <row r="19" spans="1:5" ht="15.95" thickBot="1">
      <c r="A19" s="293" t="s">
        <v>99</v>
      </c>
      <c r="B19" s="217">
        <v>0</v>
      </c>
      <c r="C19" s="500"/>
      <c r="D19" s="518"/>
      <c r="E19" s="285"/>
    </row>
    <row r="20" spans="1:5" ht="15.95" thickBot="1">
      <c r="A20" s="293" t="s">
        <v>100</v>
      </c>
      <c r="B20" s="217">
        <f>B51+B52+B53+B54</f>
        <v>0</v>
      </c>
      <c r="C20" s="500"/>
      <c r="D20" s="518"/>
      <c r="E20" s="285"/>
    </row>
    <row r="21" spans="1:5" ht="15.6">
      <c r="A21" s="294" t="s">
        <v>101</v>
      </c>
      <c r="B21" s="295">
        <f>SUM(B17:B20)</f>
        <v>0</v>
      </c>
      <c r="C21" s="519"/>
      <c r="D21" s="520"/>
      <c r="E21" s="285"/>
    </row>
    <row r="22" spans="1:5" ht="16.5" customHeight="1">
      <c r="A22" s="521" t="s">
        <v>102</v>
      </c>
      <c r="B22" s="522"/>
      <c r="C22" s="522"/>
      <c r="D22" s="522"/>
      <c r="E22" s="285"/>
    </row>
    <row r="23" spans="1:5" ht="15.95" thickBot="1">
      <c r="A23" s="293" t="s">
        <v>103</v>
      </c>
      <c r="B23" s="217">
        <v>0</v>
      </c>
      <c r="C23" s="523"/>
      <c r="D23" s="524"/>
      <c r="E23" s="285"/>
    </row>
    <row r="24" spans="1:5" ht="15.95" thickBot="1">
      <c r="A24" s="293" t="s">
        <v>104</v>
      </c>
      <c r="B24" s="220">
        <v>0</v>
      </c>
      <c r="C24" s="498"/>
      <c r="D24" s="499"/>
      <c r="E24" s="285"/>
    </row>
    <row r="25" spans="1:5" ht="15.95" thickBot="1">
      <c r="A25" s="293" t="s">
        <v>105</v>
      </c>
      <c r="B25" s="220">
        <v>0</v>
      </c>
      <c r="C25" s="498"/>
      <c r="D25" s="499"/>
      <c r="E25" s="285"/>
    </row>
    <row r="26" spans="1:5" ht="15.95" thickBot="1">
      <c r="A26" s="293" t="s">
        <v>106</v>
      </c>
      <c r="B26" s="217">
        <v>0</v>
      </c>
      <c r="C26" s="496"/>
      <c r="D26" s="497"/>
      <c r="E26" s="285"/>
    </row>
    <row r="27" spans="1:5" ht="15.95" thickBot="1">
      <c r="A27" s="293" t="s">
        <v>107</v>
      </c>
      <c r="B27" s="220">
        <v>0</v>
      </c>
      <c r="C27" s="498"/>
      <c r="D27" s="499"/>
      <c r="E27" s="285"/>
    </row>
    <row r="28" spans="1:5" ht="15.95" thickBot="1">
      <c r="A28" s="293" t="s">
        <v>108</v>
      </c>
      <c r="B28" s="217">
        <v>0</v>
      </c>
      <c r="C28" s="496"/>
      <c r="D28" s="497"/>
      <c r="E28" s="285"/>
    </row>
    <row r="29" spans="1:5" ht="15.95" thickBot="1">
      <c r="A29" s="293" t="s">
        <v>109</v>
      </c>
      <c r="B29" s="217">
        <v>0</v>
      </c>
      <c r="C29" s="500"/>
      <c r="D29" s="501"/>
      <c r="E29" s="285"/>
    </row>
    <row r="30" spans="1:5" ht="15.95" thickBot="1">
      <c r="A30" s="293" t="s">
        <v>110</v>
      </c>
      <c r="B30" s="217">
        <v>0</v>
      </c>
      <c r="C30" s="500"/>
      <c r="D30" s="501"/>
      <c r="E30" s="296"/>
    </row>
    <row r="31" spans="1:5" ht="15.95" thickBot="1">
      <c r="A31" s="293" t="s">
        <v>111</v>
      </c>
      <c r="B31" s="217">
        <v>0</v>
      </c>
      <c r="C31" s="496"/>
      <c r="D31" s="497"/>
      <c r="E31" s="285"/>
    </row>
    <row r="32" spans="1:5" ht="15.95" thickBot="1">
      <c r="A32" s="293" t="s">
        <v>112</v>
      </c>
      <c r="B32" s="217">
        <v>0</v>
      </c>
      <c r="C32" s="502"/>
      <c r="D32" s="503"/>
      <c r="E32" s="296"/>
    </row>
    <row r="33" spans="1:38" ht="15.95" thickBot="1">
      <c r="A33" s="294" t="s">
        <v>113</v>
      </c>
      <c r="B33" s="295">
        <f>SUM(B23:B32)</f>
        <v>0</v>
      </c>
      <c r="C33" s="504"/>
      <c r="D33" s="505"/>
      <c r="E33" s="285"/>
    </row>
    <row r="34" spans="1:38" ht="15.95" thickBot="1">
      <c r="A34" s="294" t="s">
        <v>114</v>
      </c>
      <c r="B34" s="295">
        <f>SUM(B33+B21)</f>
        <v>0</v>
      </c>
      <c r="C34" s="504"/>
      <c r="D34" s="505"/>
      <c r="E34" s="285"/>
    </row>
    <row r="35" spans="1:38" ht="15.95" thickBot="1">
      <c r="A35" s="294" t="s">
        <v>115</v>
      </c>
      <c r="B35" s="295">
        <f>B15-B34+B11</f>
        <v>0</v>
      </c>
      <c r="C35" s="506"/>
      <c r="D35" s="507"/>
      <c r="E35" s="285"/>
    </row>
    <row r="36" spans="1:38" ht="9.75" customHeight="1">
      <c r="A36" s="297"/>
      <c r="B36" s="297"/>
      <c r="C36" s="297"/>
      <c r="D36" s="297"/>
      <c r="E36" s="29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row>
    <row r="37" spans="1:38" ht="24" customHeight="1">
      <c r="A37" s="508" t="s">
        <v>124</v>
      </c>
      <c r="B37" s="509"/>
      <c r="C37" s="509"/>
      <c r="D37" s="509"/>
      <c r="E37" s="510"/>
    </row>
    <row r="38" spans="1:38" ht="9.75" customHeight="1" thickBot="1">
      <c r="A38" s="297"/>
      <c r="B38" s="297"/>
      <c r="C38" s="297"/>
      <c r="D38" s="297"/>
      <c r="E38" s="297"/>
    </row>
    <row r="39" spans="1:38" ht="24" customHeight="1" thickBot="1">
      <c r="A39" s="298"/>
      <c r="B39" s="492" t="s">
        <v>125</v>
      </c>
      <c r="C39" s="493"/>
      <c r="D39" s="494" t="s">
        <v>126</v>
      </c>
      <c r="E39" s="495"/>
    </row>
    <row r="40" spans="1:38" ht="31.5" thickBot="1">
      <c r="A40" s="299" t="s">
        <v>127</v>
      </c>
      <c r="B40" s="300" t="s">
        <v>128</v>
      </c>
      <c r="C40" s="301" t="s">
        <v>129</v>
      </c>
      <c r="D40" s="302" t="s">
        <v>130</v>
      </c>
      <c r="E40" s="303" t="s">
        <v>131</v>
      </c>
    </row>
    <row r="41" spans="1:38" ht="15.95" thickBot="1">
      <c r="A41" s="304" t="s">
        <v>132</v>
      </c>
      <c r="B41" s="221"/>
      <c r="C41" s="222"/>
      <c r="D41" s="223"/>
      <c r="E41" s="224"/>
    </row>
    <row r="42" spans="1:38" ht="15.95" thickBot="1">
      <c r="A42" s="305" t="s">
        <v>133</v>
      </c>
      <c r="B42" s="221"/>
      <c r="C42" s="222"/>
      <c r="D42" s="225"/>
      <c r="E42" s="226"/>
    </row>
    <row r="43" spans="1:38" ht="15.95" thickBot="1">
      <c r="A43" s="305" t="s">
        <v>134</v>
      </c>
      <c r="B43" s="221"/>
      <c r="C43" s="222"/>
      <c r="D43" s="225"/>
      <c r="E43" s="226"/>
    </row>
    <row r="44" spans="1:38" ht="15.95" thickBot="1">
      <c r="A44" s="306" t="s">
        <v>99</v>
      </c>
      <c r="B44" s="227"/>
      <c r="C44" s="228"/>
      <c r="D44" s="229"/>
      <c r="E44" s="230"/>
    </row>
    <row r="45" spans="1:38" ht="24" customHeight="1" thickBot="1">
      <c r="A45" s="307" t="s">
        <v>135</v>
      </c>
      <c r="B45" s="486" t="s">
        <v>136</v>
      </c>
      <c r="C45" s="486"/>
      <c r="D45" s="486" t="s">
        <v>137</v>
      </c>
      <c r="E45" s="487"/>
    </row>
    <row r="46" spans="1:38" ht="15.95" thickBot="1">
      <c r="A46" s="304" t="s">
        <v>132</v>
      </c>
      <c r="B46" s="488">
        <v>0</v>
      </c>
      <c r="C46" s="489"/>
      <c r="D46" s="490">
        <f>(((_xlfn.XLOOKUP(C41,'SCHADS - 2025'!$A$6:$A$32,'SCHADS - 2025'!$C$6:$C$32,0,0))*38*52)*B46)+((_xlfn.XLOOKUP(C41,'CSA - 2025'!$A$20:$A$59,'CSA - 2025'!$C$20:$C$59,0,0)*38*52)*B46)+(E41*B46)</f>
        <v>0</v>
      </c>
      <c r="E46" s="491"/>
      <c r="AE46" s="41"/>
    </row>
    <row r="47" spans="1:38" ht="15.95" thickBot="1">
      <c r="A47" s="305" t="s">
        <v>133</v>
      </c>
      <c r="B47" s="477">
        <v>0</v>
      </c>
      <c r="C47" s="478"/>
      <c r="D47" s="479">
        <f>(((_xlfn.XLOOKUP(C42,'SCHADS - 2025'!$A$6:$A$32,'SCHADS - 2025'!$C$6:$C$32,0,0))*38*52)*B47)+((_xlfn.XLOOKUP(C42,'CSA - 2025'!$A$20:$A$59,'CSA - 2025'!$C$20:$C$59,0,0)*38*52)*B47)+(E42*B47)</f>
        <v>0</v>
      </c>
      <c r="E47" s="480"/>
    </row>
    <row r="48" spans="1:38" ht="15.95" thickBot="1">
      <c r="A48" s="305" t="s">
        <v>134</v>
      </c>
      <c r="B48" s="477">
        <v>0</v>
      </c>
      <c r="C48" s="478"/>
      <c r="D48" s="479">
        <f>(((_xlfn.XLOOKUP(C43,'SCHADS - 2025'!$A$6:$A$32,'SCHADS - 2025'!$C$6:$C$32,0,0))*38*52)*B48)+((_xlfn.XLOOKUP(C43,'CSA - 2025'!$A$20:$A$59,'CSA - 2025'!$C$20:$C$59,0,0)*38*52)*B48)+(E43*B48)</f>
        <v>0</v>
      </c>
      <c r="E48" s="480"/>
      <c r="AE48" s="41"/>
    </row>
    <row r="49" spans="1:37" ht="15.95" thickBot="1">
      <c r="A49" s="306" t="s">
        <v>99</v>
      </c>
      <c r="B49" s="481">
        <v>0</v>
      </c>
      <c r="C49" s="482"/>
      <c r="D49" s="483">
        <f>(((_xlfn.XLOOKUP(C44,'SCHADS - 2025'!$A$6:$A$32,'SCHADS - 2025'!$C$6:$C$32,0,0))*38*52)*B49)+((_xlfn.XLOOKUP(C44,'CSA - 2025'!$A$20:$A$59,'CSA - 2025'!$C$20:$C$59,0,0)*38*52)*B49)+(E44*B49)</f>
        <v>0</v>
      </c>
      <c r="E49" s="484"/>
    </row>
    <row r="50" spans="1:37" ht="24" customHeight="1" thickBot="1">
      <c r="A50" s="299" t="s">
        <v>138</v>
      </c>
      <c r="B50" s="461" t="s">
        <v>139</v>
      </c>
      <c r="C50" s="462"/>
      <c r="D50" s="462" t="s">
        <v>140</v>
      </c>
      <c r="E50" s="485"/>
    </row>
    <row r="51" spans="1:37" ht="15.95" thickBot="1">
      <c r="A51" s="304" t="s">
        <v>132</v>
      </c>
      <c r="B51" s="469">
        <v>0</v>
      </c>
      <c r="C51" s="470"/>
      <c r="D51" s="471">
        <f>D46+B51</f>
        <v>0</v>
      </c>
      <c r="E51" s="472"/>
    </row>
    <row r="52" spans="1:37" ht="15.95" thickBot="1">
      <c r="A52" s="305" t="s">
        <v>133</v>
      </c>
      <c r="B52" s="473">
        <v>0</v>
      </c>
      <c r="C52" s="474"/>
      <c r="D52" s="475">
        <f>D47+B52</f>
        <v>0</v>
      </c>
      <c r="E52" s="476"/>
    </row>
    <row r="53" spans="1:37" ht="15.95" thickBot="1">
      <c r="A53" s="305" t="s">
        <v>134</v>
      </c>
      <c r="B53" s="473">
        <v>0</v>
      </c>
      <c r="C53" s="474"/>
      <c r="D53" s="475">
        <f>D48+B53</f>
        <v>0</v>
      </c>
      <c r="E53" s="476"/>
    </row>
    <row r="54" spans="1:37" ht="15.95" thickBot="1">
      <c r="A54" s="306" t="s">
        <v>99</v>
      </c>
      <c r="B54" s="457">
        <v>0</v>
      </c>
      <c r="C54" s="458"/>
      <c r="D54" s="459">
        <f t="shared" ref="D54" si="0">D49+B54</f>
        <v>0</v>
      </c>
      <c r="E54" s="460"/>
    </row>
    <row r="55" spans="1:37" ht="24" customHeight="1" thickBot="1">
      <c r="A55" s="299" t="s">
        <v>141</v>
      </c>
      <c r="B55" s="461" t="s">
        <v>88</v>
      </c>
      <c r="C55" s="462"/>
      <c r="D55" s="462"/>
      <c r="E55" s="462"/>
    </row>
    <row r="56" spans="1:37" ht="15.95" thickBot="1">
      <c r="A56" s="304" t="s">
        <v>132</v>
      </c>
      <c r="B56" s="463"/>
      <c r="C56" s="464"/>
      <c r="D56" s="464"/>
      <c r="E56" s="465"/>
    </row>
    <row r="57" spans="1:37" ht="15.95" thickBot="1">
      <c r="A57" s="305" t="s">
        <v>133</v>
      </c>
      <c r="B57" s="466"/>
      <c r="C57" s="467"/>
      <c r="D57" s="467"/>
      <c r="E57" s="468"/>
    </row>
    <row r="58" spans="1:37" ht="15.95" thickBot="1">
      <c r="A58" s="305" t="s">
        <v>134</v>
      </c>
      <c r="B58" s="466"/>
      <c r="C58" s="467"/>
      <c r="D58" s="467"/>
      <c r="E58" s="468"/>
    </row>
    <row r="59" spans="1:37" ht="15.95" thickBot="1">
      <c r="A59" s="306" t="s">
        <v>99</v>
      </c>
      <c r="B59" s="452"/>
      <c r="C59" s="453"/>
      <c r="D59" s="453"/>
      <c r="E59" s="454"/>
    </row>
    <row r="60" spans="1:37">
      <c r="A60" s="308"/>
      <c r="B60" s="308"/>
      <c r="C60" s="308"/>
      <c r="D60" s="308"/>
      <c r="E60" s="308"/>
    </row>
    <row r="61" spans="1:37">
      <c r="A61" s="285"/>
      <c r="B61" s="285"/>
      <c r="C61" s="285"/>
      <c r="D61" s="285"/>
      <c r="E61" s="285"/>
    </row>
    <row r="62" spans="1:37" ht="15.6">
      <c r="A62" s="455" t="s">
        <v>116</v>
      </c>
      <c r="B62" s="456" t="s">
        <v>92</v>
      </c>
      <c r="C62" s="456"/>
      <c r="D62" s="456"/>
      <c r="E62" s="456"/>
    </row>
    <row r="63" spans="1:37">
      <c r="A63" s="309" t="str" cm="1">
        <f t="array" ref="A63">_xlfn._xlws.FILTER(AK63:AK76,AJ63:AJ76=FALSE,"")</f>
        <v/>
      </c>
      <c r="B63" s="309"/>
      <c r="C63" s="309"/>
      <c r="D63" s="309"/>
      <c r="E63" s="309"/>
      <c r="AJ63" s="146" t="b">
        <f>AK63=""</f>
        <v>1</v>
      </c>
      <c r="AK63" s="193" t="str">
        <f>IF(AND(B17 &gt;= 1, B17 &lt;= 32500), "Jan-Jun 2024 - Coordinator Salary lower than average. Provide details in comments if this line item has an orange background", IF(B17 &gt; 44000, "Jan-Jun 2024 - Coordinator Salary higher than average. Provide details in comments if this line item has an orange background", ""))</f>
        <v/>
      </c>
    </row>
    <row r="64" spans="1:37">
      <c r="A64" s="309"/>
      <c r="B64" s="309"/>
      <c r="C64" s="309"/>
      <c r="D64" s="309"/>
      <c r="E64" s="309"/>
      <c r="AJ64" s="146" t="b">
        <f>AK64=""</f>
        <v>1</v>
      </c>
      <c r="AK64" s="193" t="str">
        <f>IF(AND(B18 &gt;= 1, B18 &lt;= 5000), "Jan-Jun 2024 - Line Manager Salary lower than average. Provide details in comments if this line item has an orange background", IF(B18 &gt; 10000, "Jan-Jun 2024 - Line Manager Salary higher than average. Provide details in comments if this line item has an orange background", ""))</f>
        <v/>
      </c>
    </row>
    <row r="65" spans="1:37">
      <c r="A65" s="309"/>
      <c r="B65" s="309"/>
      <c r="C65" s="309"/>
      <c r="D65" s="309"/>
      <c r="E65" s="309"/>
      <c r="AJ65" s="146" t="b">
        <f t="shared" ref="AJ65:AJ66" si="1">AK65=""</f>
        <v>1</v>
      </c>
      <c r="AK65" s="193" t="str">
        <f>IF(B25&gt;5000,"Meetings and Gatherings higher than average please provide details in the comments section","")</f>
        <v/>
      </c>
    </row>
    <row r="66" spans="1:37">
      <c r="A66" s="309"/>
      <c r="B66" s="310"/>
      <c r="C66" s="310"/>
      <c r="D66" s="310"/>
      <c r="E66" s="310"/>
      <c r="AJ66" s="146" t="b">
        <f t="shared" si="1"/>
        <v>1</v>
      </c>
      <c r="AK66" s="193" t="str">
        <f>IF(B31&gt;0,"Please provide details of the inclusions in the comments section","")</f>
        <v/>
      </c>
    </row>
    <row r="67" spans="1:37">
      <c r="A67" s="309"/>
      <c r="B67" s="310"/>
      <c r="C67" s="310"/>
      <c r="D67" s="310"/>
      <c r="E67" s="310"/>
      <c r="AJ67" s="146" t="b">
        <f>AK67=""</f>
        <v>1</v>
      </c>
      <c r="AK67" s="193" t="str">
        <f>IFERROR(IF(B32/B13&gt;0.15,"Overheads higher than 15%. Provide details in comments if this line item has an orange background",""),"")</f>
        <v/>
      </c>
    </row>
    <row r="68" spans="1:37">
      <c r="A68" s="309"/>
      <c r="B68" s="310"/>
      <c r="C68" s="310"/>
      <c r="D68" s="310"/>
      <c r="E68" s="310"/>
      <c r="AJ68" s="146" t="b">
        <f>AK68=""</f>
        <v>1</v>
      </c>
      <c r="AK68" s="193" t="str">
        <f>IF(B20&gt;(B17+B18+B19)*20%,"Jul-Dec 2023 - Other employment higher than average. Please provide details","")</f>
        <v/>
      </c>
    </row>
    <row r="69" spans="1:37">
      <c r="A69" s="309"/>
      <c r="B69" s="310"/>
      <c r="C69" s="310"/>
      <c r="D69" s="310"/>
      <c r="E69" s="310"/>
      <c r="AJ69" s="146" t="b">
        <f t="shared" ref="AJ69:AJ76" si="2">AK69=""</f>
        <v>1</v>
      </c>
      <c r="AK69" s="3" t="str">
        <f>IF(B23&gt;7000,"Jan-Jul 2024 - Property Costs higher than avererage. Please provide details in the comments section","")</f>
        <v/>
      </c>
    </row>
    <row r="70" spans="1:37" s="193" customFormat="1">
      <c r="A70" s="311"/>
      <c r="B70" s="311"/>
      <c r="C70" s="311"/>
      <c r="D70" s="311"/>
      <c r="E70" s="311"/>
      <c r="AJ70" s="193" t="b">
        <f t="shared" si="2"/>
        <v>1</v>
      </c>
      <c r="AK70" s="193" t="str">
        <f>IF(B26&gt;4000,"Jan-Jul 2024 - Office Costs higher than avererage. Please provide details in the comments section","")</f>
        <v/>
      </c>
    </row>
    <row r="71" spans="1:37" s="193" customFormat="1">
      <c r="AJ71" s="193" t="b">
        <f t="shared" si="2"/>
        <v>1</v>
      </c>
      <c r="AK71" s="193" t="str">
        <f>IF(B28&gt;4000,"Jan-Jun 2024 - Travel Costs higher than avererage. Please provide details in the comments section","")</f>
        <v/>
      </c>
    </row>
    <row r="72" spans="1:37">
      <c r="AJ72" s="146" t="b">
        <f t="shared" si="2"/>
        <v>1</v>
      </c>
      <c r="AK72" s="3" t="str">
        <f>IF(AND(B29&lt;2000,B29&gt;1),"Jan-Jun 2024 - Professional development Coordinator lower than avererage. Please provide details in the comments section","")</f>
        <v/>
      </c>
    </row>
    <row r="73" spans="1:37">
      <c r="AJ73" s="146" t="b">
        <f t="shared" si="2"/>
        <v>1</v>
      </c>
      <c r="AK73" s="3" t="str">
        <f>IF(B29&gt;5000,"Jan-Jun 2024 - Professional development Coordinator higher than avererage. Please provide details in the comments section","")</f>
        <v/>
      </c>
    </row>
    <row r="74" spans="1:37">
      <c r="A74" s="35" t="s">
        <v>62</v>
      </c>
      <c r="AJ74" s="146" t="b">
        <f t="shared" si="2"/>
        <v>1</v>
      </c>
      <c r="AK74" s="3" t="str">
        <f>IF(AND(B30&lt;4000,B30&gt;1),"Jan-Jun 2024 - Professional development Tutors lower than avererage. Please provide details in the comments section","")</f>
        <v/>
      </c>
    </row>
    <row r="75" spans="1:37">
      <c r="A75" s="338" t="s">
        <v>37</v>
      </c>
      <c r="B75" s="339">
        <v>1</v>
      </c>
      <c r="C75" s="340">
        <v>45690</v>
      </c>
      <c r="D75" s="341" t="s">
        <v>142</v>
      </c>
      <c r="AJ75" s="146" t="b">
        <f t="shared" si="2"/>
        <v>1</v>
      </c>
      <c r="AK75" s="3" t="str">
        <f>IF(B30&gt;7000,"Jan-Jun 2024 - Professional development Tutor higher than avererage. Please provide details in the comments section","")</f>
        <v/>
      </c>
    </row>
    <row r="76" spans="1:37">
      <c r="AJ76" s="146" t="b">
        <f t="shared" si="2"/>
        <v>1</v>
      </c>
      <c r="AK76" s="3" t="str">
        <f>IF(B31&gt;5000,"Jan-Jun 2024 - Other - higher than avererage. Please provide details in the comments section","")</f>
        <v/>
      </c>
    </row>
  </sheetData>
  <sheetProtection algorithmName="SHA-512" hashValue="0tExQiJmbFCnH0fDrLpbPCGkgsArjvrU7ny8yLantRJIo9QduGxplXAR9hppcHdglSgyj2N2GKNQyq6jobvniA==" saltValue="RlH+8E7Q5k1FOSz7SPEeSw==" spinCount="100000" sheet="1" objects="1" scenarios="1"/>
  <mergeCells count="57">
    <mergeCell ref="C13:D13"/>
    <mergeCell ref="B1:E1"/>
    <mergeCell ref="B7:D7"/>
    <mergeCell ref="C10:D10"/>
    <mergeCell ref="C11:D11"/>
    <mergeCell ref="A12:D12"/>
    <mergeCell ref="C25:D25"/>
    <mergeCell ref="C14:D14"/>
    <mergeCell ref="C15:D15"/>
    <mergeCell ref="A16:D16"/>
    <mergeCell ref="C17:D17"/>
    <mergeCell ref="C18:D18"/>
    <mergeCell ref="C19:D19"/>
    <mergeCell ref="C20:D20"/>
    <mergeCell ref="C21:D21"/>
    <mergeCell ref="A22:D22"/>
    <mergeCell ref="C23:D23"/>
    <mergeCell ref="C24:D24"/>
    <mergeCell ref="B39:C39"/>
    <mergeCell ref="D39:E39"/>
    <mergeCell ref="C26:D26"/>
    <mergeCell ref="C27:D27"/>
    <mergeCell ref="C28:D28"/>
    <mergeCell ref="C29:D29"/>
    <mergeCell ref="C30:D30"/>
    <mergeCell ref="C31:D31"/>
    <mergeCell ref="C32:D32"/>
    <mergeCell ref="C33:D33"/>
    <mergeCell ref="C34:D34"/>
    <mergeCell ref="C35:D35"/>
    <mergeCell ref="A37:E37"/>
    <mergeCell ref="B45:C45"/>
    <mergeCell ref="D45:E45"/>
    <mergeCell ref="B46:C46"/>
    <mergeCell ref="D46:E46"/>
    <mergeCell ref="B47:C47"/>
    <mergeCell ref="D47:E47"/>
    <mergeCell ref="B48:C48"/>
    <mergeCell ref="D48:E48"/>
    <mergeCell ref="B49:C49"/>
    <mergeCell ref="D49:E49"/>
    <mergeCell ref="B50:C50"/>
    <mergeCell ref="D50:E50"/>
    <mergeCell ref="B51:C51"/>
    <mergeCell ref="D51:E51"/>
    <mergeCell ref="B52:C52"/>
    <mergeCell ref="D52:E52"/>
    <mergeCell ref="B53:C53"/>
    <mergeCell ref="D53:E53"/>
    <mergeCell ref="B59:E59"/>
    <mergeCell ref="A62:E62"/>
    <mergeCell ref="B54:C54"/>
    <mergeCell ref="D54:E54"/>
    <mergeCell ref="B55:E55"/>
    <mergeCell ref="B56:E56"/>
    <mergeCell ref="B57:E57"/>
    <mergeCell ref="B58:E58"/>
  </mergeCells>
  <conditionalFormatting sqref="B17">
    <cfRule type="cellIs" dxfId="224" priority="31" operator="greaterThan">
      <formula>44000</formula>
    </cfRule>
    <cfRule type="cellIs" dxfId="223" priority="32" operator="between">
      <formula>1</formula>
      <formula>32500</formula>
    </cfRule>
  </conditionalFormatting>
  <conditionalFormatting sqref="B18">
    <cfRule type="cellIs" dxfId="222" priority="27" operator="greaterThan">
      <formula>7500</formula>
    </cfRule>
    <cfRule type="cellIs" dxfId="221" priority="28" operator="between">
      <formula>1</formula>
      <formula>5000</formula>
    </cfRule>
  </conditionalFormatting>
  <conditionalFormatting sqref="B20">
    <cfRule type="expression" dxfId="220" priority="4">
      <formula>$B$20&gt;($B$17+$B$18+$B$19)*20%</formula>
    </cfRule>
  </conditionalFormatting>
  <conditionalFormatting sqref="B23">
    <cfRule type="cellIs" dxfId="219" priority="24" operator="greaterThan">
      <formula>7000</formula>
    </cfRule>
  </conditionalFormatting>
  <conditionalFormatting sqref="B25">
    <cfRule type="cellIs" dxfId="218" priority="2" operator="greaterThan">
      <formula>5000</formula>
    </cfRule>
  </conditionalFormatting>
  <conditionalFormatting sqref="B26">
    <cfRule type="cellIs" dxfId="217" priority="21" operator="greaterThan">
      <formula>4000</formula>
    </cfRule>
    <cfRule type="cellIs" dxfId="216" priority="22" operator="greaterThan">
      <formula>8000</formula>
    </cfRule>
  </conditionalFormatting>
  <conditionalFormatting sqref="B28">
    <cfRule type="cellIs" dxfId="215" priority="18" operator="greaterThan">
      <formula>4000</formula>
    </cfRule>
  </conditionalFormatting>
  <conditionalFormatting sqref="B29">
    <cfRule type="cellIs" dxfId="214" priority="16" operator="between">
      <formula>1</formula>
      <formula>2000</formula>
    </cfRule>
  </conditionalFormatting>
  <conditionalFormatting sqref="B29:B31">
    <cfRule type="cellIs" dxfId="213" priority="8" operator="greaterThan">
      <formula>5000</formula>
    </cfRule>
  </conditionalFormatting>
  <conditionalFormatting sqref="B30">
    <cfRule type="expression" dxfId="212" priority="12">
      <formula>AND($B$30&gt;1,$B$30&lt;4000)</formula>
    </cfRule>
  </conditionalFormatting>
  <conditionalFormatting sqref="B32">
    <cfRule type="expression" dxfId="211" priority="6">
      <formula>$B$32/$B$13&gt;0.15</formula>
    </cfRule>
  </conditionalFormatting>
  <conditionalFormatting sqref="C17">
    <cfRule type="expression" dxfId="210" priority="29">
      <formula>$B$17&gt;44000</formula>
    </cfRule>
    <cfRule type="expression" dxfId="209" priority="30">
      <formula>AND($B$17&gt;1,$B$17&lt;32500)</formula>
    </cfRule>
  </conditionalFormatting>
  <conditionalFormatting sqref="C18">
    <cfRule type="expression" dxfId="208" priority="25">
      <formula>AND($B$18&gt;1,$B$18&lt;5000)</formula>
    </cfRule>
    <cfRule type="expression" dxfId="207" priority="26">
      <formula>$B$18&gt;10000</formula>
    </cfRule>
  </conditionalFormatting>
  <conditionalFormatting sqref="C20">
    <cfRule type="expression" dxfId="206" priority="3">
      <formula>$B$20&gt;($B$17+$B$18+$B$19)*20%</formula>
    </cfRule>
  </conditionalFormatting>
  <conditionalFormatting sqref="C23">
    <cfRule type="expression" dxfId="205" priority="23">
      <formula>$B$23&gt;8000</formula>
    </cfRule>
  </conditionalFormatting>
  <conditionalFormatting sqref="C26">
    <cfRule type="expression" dxfId="204" priority="19">
      <formula>"($B$26+$C$26)&gt;8000"</formula>
    </cfRule>
    <cfRule type="expression" dxfId="203" priority="20">
      <formula>$B$26&gt;4000</formula>
    </cfRule>
  </conditionalFormatting>
  <conditionalFormatting sqref="C28">
    <cfRule type="expression" dxfId="202" priority="17">
      <formula>$B$28&gt;4000</formula>
    </cfRule>
  </conditionalFormatting>
  <conditionalFormatting sqref="C29">
    <cfRule type="expression" dxfId="201" priority="13">
      <formula>$B$29&gt;5000</formula>
    </cfRule>
    <cfRule type="expression" dxfId="200" priority="14">
      <formula>AND($B$29&gt;1,$B$29&lt;2000)</formula>
    </cfRule>
  </conditionalFormatting>
  <conditionalFormatting sqref="C30">
    <cfRule type="expression" dxfId="199" priority="9">
      <formula>$B$30&gt;5000</formula>
    </cfRule>
    <cfRule type="expression" dxfId="198" priority="10">
      <formula>AND($B$30&gt;1,$B$30&lt;4000)</formula>
    </cfRule>
  </conditionalFormatting>
  <conditionalFormatting sqref="C31">
    <cfRule type="expression" dxfId="197" priority="7">
      <formula>$B$31&gt;5000</formula>
    </cfRule>
  </conditionalFormatting>
  <conditionalFormatting sqref="C32">
    <cfRule type="expression" dxfId="196" priority="5">
      <formula>$B$32/$B$13&gt;0.15</formula>
    </cfRule>
  </conditionalFormatting>
  <conditionalFormatting sqref="C25:D25">
    <cfRule type="expression" dxfId="195" priority="1">
      <formula>$B$25&gt;5000</formula>
    </cfRule>
  </conditionalFormatting>
  <hyperlinks>
    <hyperlink ref="A37:E37" location="Instructions!A53" display="Remuneration Detail" xr:uid="{C82CDA0B-609A-4E40-A8EA-C581363CD854}"/>
    <hyperlink ref="A11" location="Instructions!A6" display="Approved FY22/23 surplus" xr:uid="{62A8DDEB-E0B2-42B8-BECB-2595AD77BBBB}"/>
    <hyperlink ref="A13" location="Instructions!A7" display="Income from HIPPY Australia" xr:uid="{38FF8ABF-A88A-42C7-8CF2-101772251151}"/>
    <hyperlink ref="A14" location="Instructions!A8" display="Other income" xr:uid="{148CC6DA-70C0-4417-9BE8-766C87146374}"/>
    <hyperlink ref="A17" location="Instructions!A9" display="Coordinator(s)" xr:uid="{5D873455-469D-41FA-8CC6-D5889D8C32DE}"/>
    <hyperlink ref="A18" location="Instructions!A10" display="Line Manager(s)" xr:uid="{82296948-BA2F-4908-BDEE-FB1FB2069C97}"/>
    <hyperlink ref="A19" location="Instructions!A11" display="Tutors" xr:uid="{DD088212-AC13-4FA0-A362-491ADB5C3966}"/>
    <hyperlink ref="A20" location="Instructions!A12" display="Other employment" xr:uid="{4F57E67D-6A2A-4D81-9DEB-021240702FC9}"/>
    <hyperlink ref="A23" location="Instructions!A13" display="Property costs" xr:uid="{A9E04CB4-7E65-4B9A-8BDA-48AA44768108}"/>
    <hyperlink ref="A24" location="Instructions!A14" display="Materials &amp; resources" xr:uid="{659E3276-BB34-488F-ACF0-0B8993DCBA4A}"/>
    <hyperlink ref="A25" location="Instructions!A15" display="Meetings &amp; gatherings" xr:uid="{74CFD9BC-543C-414A-BC72-6D032CDC6077}"/>
    <hyperlink ref="A27" location="Instructions!A17" display="Promotional costs" xr:uid="{DA873638-42AF-44B0-9EEE-316E98CBC50B}"/>
    <hyperlink ref="A28" location="Instructions!A18" display="Travel" xr:uid="{A5AA23A0-8899-4BF7-93CE-E39D9C0703BA}"/>
    <hyperlink ref="A29" location="Instructions!A19" display="Professional development - Coordinator" xr:uid="{852A4825-6C09-4BBB-BACF-8FACB02598CC}"/>
    <hyperlink ref="A31" location="Instructions!A21" display="Other " xr:uid="{88E8D2C8-EE2F-4CFD-BFD0-56D0CADE69E4}"/>
    <hyperlink ref="A32" location="Instructions!A22" display="Overhead costs" xr:uid="{23B6BDF6-7F11-4228-B093-BA4E2C4B41D9}"/>
    <hyperlink ref="A26" location="Instructions!A16" display="Office costs" xr:uid="{4D858C38-FF1E-43BA-B8B6-5B30065ABDE6}"/>
    <hyperlink ref="A30" location="Instructions!A20" display="Professional development - Tutors" xr:uid="{D786EB20-2A9B-4F5B-98F3-2C83A3149FDB}"/>
  </hyperlinks>
  <printOptions horizontalCentered="1" verticalCentered="1"/>
  <pageMargins left="0.23622047244094491" right="0.23622047244094491" top="0.74803149606299213" bottom="0.74803149606299213" header="0.31496062992125984" footer="0.31496062992125984"/>
  <pageSetup paperSize="9" scale="68" orientation="portrait" r:id="rId1"/>
  <headerFooter>
    <oddHeader>&amp;L&amp;"Calibri"&amp;12&amp;K000000 OFFICIAL&amp;1#_x000D_</oddHeader>
  </headerFooter>
  <ignoredErrors>
    <ignoredError sqref="B20:B21 B33:B35 D46:E49 D51:E54" unlockedFormula="1"/>
  </ignoredError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C258DE5-72B0-481A-9A02-5CB3954D5C0D}">
          <x14:formula1>
            <xm:f>Lists!$A$5:$A$71</xm:f>
          </x14:formula1>
          <xm:sqref>C41:C44</xm:sqref>
        </x14:dataValidation>
        <x14:dataValidation type="list" allowBlank="1" showInputMessage="1" showErrorMessage="1" xr:uid="{8781914F-EF65-416A-88AB-361774F18A27}">
          <x14:formula1>
            <xm:f>Lists!$A$2:$A$3</xm:f>
          </x14:formula1>
          <xm:sqref>B41:B44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41BAA-E91A-4FD8-A4BE-F551D431BDA0}">
  <sheetPr codeName="Sheet4">
    <tabColor theme="3" tint="0.39997558519241921"/>
  </sheetPr>
  <dimension ref="A1:AJ75"/>
  <sheetViews>
    <sheetView zoomScale="115" zoomScaleNormal="115" workbookViewId="0">
      <selection activeCell="A18" sqref="A18"/>
    </sheetView>
  </sheetViews>
  <sheetFormatPr defaultColWidth="9.140625" defaultRowHeight="14.45"/>
  <cols>
    <col min="1" max="1" width="42" style="3" customWidth="1"/>
    <col min="2" max="4" width="17.140625" style="3" customWidth="1"/>
    <col min="5" max="5" width="45.5703125" style="3" customWidth="1"/>
    <col min="6" max="31" width="9.140625" style="193" customWidth="1"/>
    <col min="32" max="35" width="9.140625" style="342" customWidth="1"/>
    <col min="36" max="36" width="9.140625" style="342"/>
    <col min="37" max="16384" width="9.140625" style="3"/>
  </cols>
  <sheetData>
    <row r="1" spans="1:5" ht="74.25" customHeight="1">
      <c r="A1" s="13"/>
      <c r="B1" s="448" t="s">
        <v>77</v>
      </c>
      <c r="C1" s="448"/>
      <c r="D1" s="448"/>
      <c r="E1" s="448"/>
    </row>
    <row r="3" spans="1:5" ht="15.6">
      <c r="B3" s="138" t="s">
        <v>78</v>
      </c>
    </row>
    <row r="4" spans="1:5" ht="15.6">
      <c r="B4" s="441" t="s">
        <v>79</v>
      </c>
    </row>
    <row r="5" spans="1:5" ht="15.6">
      <c r="B5" s="362" t="s">
        <v>80</v>
      </c>
      <c r="E5" s="20"/>
    </row>
    <row r="6" spans="1:5">
      <c r="E6" s="20"/>
    </row>
    <row r="7" spans="1:5" ht="20.100000000000001" customHeight="1">
      <c r="A7" s="286" t="s">
        <v>81</v>
      </c>
      <c r="B7" s="527"/>
      <c r="C7" s="527"/>
      <c r="D7" s="527"/>
      <c r="E7" s="289"/>
    </row>
    <row r="8" spans="1:5" ht="20.100000000000001" customHeight="1">
      <c r="A8" s="286" t="s">
        <v>82</v>
      </c>
      <c r="B8" s="312" t="str">
        <f>_xlfn.CONCAT(Lists!$I$25)</f>
        <v>FY 25/26</v>
      </c>
      <c r="C8" s="313"/>
      <c r="D8" s="313"/>
      <c r="E8" s="289"/>
    </row>
    <row r="9" spans="1:5" ht="15" thickBot="1">
      <c r="A9" s="285"/>
      <c r="B9" s="285"/>
      <c r="C9" s="285"/>
      <c r="D9" s="285"/>
      <c r="E9" s="285"/>
    </row>
    <row r="10" spans="1:5" ht="31.5" thickBot="1">
      <c r="A10" s="290" t="s">
        <v>84</v>
      </c>
      <c r="B10" s="412" t="s">
        <v>143</v>
      </c>
      <c r="C10" s="413" t="s">
        <v>144</v>
      </c>
      <c r="D10" s="413" t="str">
        <f>_xlfn.CONCAT(Lists!$M$25,Lists!$I$25)</f>
        <v>Total               FY 25/26</v>
      </c>
      <c r="E10" s="414" t="s">
        <v>145</v>
      </c>
    </row>
    <row r="11" spans="1:5" ht="15.95" thickBot="1">
      <c r="A11" s="292" t="s">
        <v>146</v>
      </c>
      <c r="B11" s="409">
        <v>0</v>
      </c>
      <c r="C11" s="409">
        <v>0</v>
      </c>
      <c r="D11" s="410">
        <f>B11</f>
        <v>0</v>
      </c>
      <c r="E11" s="411"/>
    </row>
    <row r="12" spans="1:5" ht="15.95" customHeight="1" thickBot="1">
      <c r="A12" s="405" t="s">
        <v>91</v>
      </c>
      <c r="B12" s="535" t="s">
        <v>92</v>
      </c>
      <c r="C12" s="535"/>
      <c r="D12" s="535"/>
      <c r="E12" s="406" t="s">
        <v>145</v>
      </c>
    </row>
    <row r="13" spans="1:5" ht="15.95" thickBot="1">
      <c r="A13" s="293" t="s">
        <v>91</v>
      </c>
      <c r="B13" s="217">
        <v>0</v>
      </c>
      <c r="C13" s="217">
        <v>0</v>
      </c>
      <c r="D13" s="217">
        <f>SUM(B13:C13)</f>
        <v>0</v>
      </c>
      <c r="E13" s="438"/>
    </row>
    <row r="14" spans="1:5" ht="15.95" thickBot="1">
      <c r="A14" s="293" t="s">
        <v>93</v>
      </c>
      <c r="B14" s="217">
        <v>0</v>
      </c>
      <c r="C14" s="217">
        <v>0</v>
      </c>
      <c r="D14" s="217">
        <f>SUM(B14:C14)</f>
        <v>0</v>
      </c>
      <c r="E14" s="439"/>
    </row>
    <row r="15" spans="1:5" ht="15.95" thickBot="1">
      <c r="A15" s="403" t="s">
        <v>94</v>
      </c>
      <c r="B15" s="315">
        <f>SUM(B13:B14)</f>
        <v>0</v>
      </c>
      <c r="C15" s="315">
        <f t="shared" ref="C15:D15" si="0">SUM(C13:C14)</f>
        <v>0</v>
      </c>
      <c r="D15" s="315">
        <f t="shared" si="0"/>
        <v>0</v>
      </c>
      <c r="E15" s="404"/>
    </row>
    <row r="16" spans="1:5" ht="15.6" customHeight="1" thickBot="1">
      <c r="A16" s="405" t="s">
        <v>95</v>
      </c>
      <c r="B16" s="535" t="s">
        <v>96</v>
      </c>
      <c r="C16" s="535"/>
      <c r="D16" s="535"/>
      <c r="E16" s="406" t="s">
        <v>145</v>
      </c>
    </row>
    <row r="17" spans="1:5" ht="15.95" thickBot="1">
      <c r="A17" s="293" t="s">
        <v>97</v>
      </c>
      <c r="B17" s="217">
        <v>0</v>
      </c>
      <c r="C17" s="217">
        <v>0</v>
      </c>
      <c r="D17" s="217">
        <f>SUM(B17:C17)</f>
        <v>0</v>
      </c>
      <c r="E17" s="218"/>
    </row>
    <row r="18" spans="1:5" ht="15.95" thickBot="1">
      <c r="A18" s="293" t="s">
        <v>98</v>
      </c>
      <c r="B18" s="217">
        <v>0</v>
      </c>
      <c r="C18" s="217">
        <v>0</v>
      </c>
      <c r="D18" s="217">
        <f t="shared" ref="D18:D20" si="1">SUM(B18:C18)</f>
        <v>0</v>
      </c>
      <c r="E18" s="218"/>
    </row>
    <row r="19" spans="1:5" ht="15.95" thickBot="1">
      <c r="A19" s="293" t="s">
        <v>99</v>
      </c>
      <c r="B19" s="217">
        <v>0</v>
      </c>
      <c r="C19" s="217">
        <v>0</v>
      </c>
      <c r="D19" s="217">
        <f t="shared" si="1"/>
        <v>0</v>
      </c>
      <c r="E19" s="218"/>
    </row>
    <row r="20" spans="1:5" ht="15.95" thickBot="1">
      <c r="A20" s="293" t="s">
        <v>100</v>
      </c>
      <c r="B20" s="217">
        <v>0</v>
      </c>
      <c r="C20" s="217">
        <v>0</v>
      </c>
      <c r="D20" s="217">
        <f t="shared" si="1"/>
        <v>0</v>
      </c>
      <c r="E20" s="218"/>
    </row>
    <row r="21" spans="1:5" ht="15.95" thickBot="1">
      <c r="A21" s="403" t="s">
        <v>101</v>
      </c>
      <c r="B21" s="315">
        <f>SUM(B17:B20)</f>
        <v>0</v>
      </c>
      <c r="C21" s="315">
        <f>SUM(C17:C20)</f>
        <v>0</v>
      </c>
      <c r="D21" s="315">
        <f>SUM(D17:D20)</f>
        <v>0</v>
      </c>
      <c r="E21" s="316"/>
    </row>
    <row r="22" spans="1:5" ht="15.6" customHeight="1" thickBot="1">
      <c r="A22" s="405" t="s">
        <v>102</v>
      </c>
      <c r="B22" s="535" t="s">
        <v>96</v>
      </c>
      <c r="C22" s="535"/>
      <c r="D22" s="535"/>
      <c r="E22" s="406" t="s">
        <v>145</v>
      </c>
    </row>
    <row r="23" spans="1:5" ht="15.95" thickBot="1">
      <c r="A23" s="293" t="s">
        <v>103</v>
      </c>
      <c r="B23" s="217">
        <v>0</v>
      </c>
      <c r="C23" s="217">
        <v>0</v>
      </c>
      <c r="D23" s="217">
        <f t="shared" ref="D23:D32" si="2">SUM(B23:C23)</f>
        <v>0</v>
      </c>
      <c r="E23" s="438"/>
    </row>
    <row r="24" spans="1:5" ht="15.95" thickBot="1">
      <c r="A24" s="293" t="s">
        <v>104</v>
      </c>
      <c r="B24" s="217">
        <v>0</v>
      </c>
      <c r="C24" s="217">
        <v>0</v>
      </c>
      <c r="D24" s="217">
        <f t="shared" si="2"/>
        <v>0</v>
      </c>
      <c r="E24" s="439"/>
    </row>
    <row r="25" spans="1:5" ht="15.95" thickBot="1">
      <c r="A25" s="293" t="s">
        <v>105</v>
      </c>
      <c r="B25" s="217">
        <v>0</v>
      </c>
      <c r="C25" s="217">
        <v>0</v>
      </c>
      <c r="D25" s="217">
        <f t="shared" si="2"/>
        <v>0</v>
      </c>
      <c r="E25" s="439"/>
    </row>
    <row r="26" spans="1:5" ht="15.95" thickBot="1">
      <c r="A26" s="293" t="s">
        <v>106</v>
      </c>
      <c r="B26" s="217">
        <v>0</v>
      </c>
      <c r="C26" s="217">
        <v>0</v>
      </c>
      <c r="D26" s="217">
        <f t="shared" si="2"/>
        <v>0</v>
      </c>
      <c r="E26" s="439"/>
    </row>
    <row r="27" spans="1:5" ht="15.95" thickBot="1">
      <c r="A27" s="293" t="s">
        <v>107</v>
      </c>
      <c r="B27" s="217">
        <v>0</v>
      </c>
      <c r="C27" s="217">
        <v>0</v>
      </c>
      <c r="D27" s="217">
        <f t="shared" si="2"/>
        <v>0</v>
      </c>
      <c r="E27" s="439"/>
    </row>
    <row r="28" spans="1:5" ht="15.95" thickBot="1">
      <c r="A28" s="293" t="s">
        <v>108</v>
      </c>
      <c r="B28" s="217">
        <v>0</v>
      </c>
      <c r="C28" s="217">
        <v>0</v>
      </c>
      <c r="D28" s="217">
        <f t="shared" si="2"/>
        <v>0</v>
      </c>
      <c r="E28" s="439"/>
    </row>
    <row r="29" spans="1:5" ht="15.95" thickBot="1">
      <c r="A29" s="293" t="s">
        <v>109</v>
      </c>
      <c r="B29" s="217">
        <v>0</v>
      </c>
      <c r="C29" s="217">
        <v>0</v>
      </c>
      <c r="D29" s="217">
        <f t="shared" si="2"/>
        <v>0</v>
      </c>
      <c r="E29" s="218"/>
    </row>
    <row r="30" spans="1:5" ht="15.95" thickBot="1">
      <c r="A30" s="293" t="s">
        <v>110</v>
      </c>
      <c r="B30" s="217">
        <v>0</v>
      </c>
      <c r="C30" s="217">
        <v>0</v>
      </c>
      <c r="D30" s="217">
        <f>SUM(B30:C30)</f>
        <v>0</v>
      </c>
      <c r="E30" s="218"/>
    </row>
    <row r="31" spans="1:5" ht="15.95" thickBot="1">
      <c r="A31" s="293" t="s">
        <v>111</v>
      </c>
      <c r="B31" s="217">
        <v>0</v>
      </c>
      <c r="C31" s="217">
        <v>0</v>
      </c>
      <c r="D31" s="217">
        <f t="shared" si="2"/>
        <v>0</v>
      </c>
      <c r="E31" s="439"/>
    </row>
    <row r="32" spans="1:5" ht="15.95" thickBot="1">
      <c r="A32" s="293" t="s">
        <v>112</v>
      </c>
      <c r="B32" s="217">
        <v>0</v>
      </c>
      <c r="C32" s="217">
        <v>0</v>
      </c>
      <c r="D32" s="217">
        <f t="shared" si="2"/>
        <v>0</v>
      </c>
      <c r="E32" s="219"/>
    </row>
    <row r="33" spans="1:33" ht="15.95" thickBot="1">
      <c r="A33" s="294" t="s">
        <v>113</v>
      </c>
      <c r="B33" s="315">
        <f>SUM(B23:B32)</f>
        <v>0</v>
      </c>
      <c r="C33" s="315">
        <f>SUM(C23:C32)</f>
        <v>0</v>
      </c>
      <c r="D33" s="315">
        <f>SUM(D23:D32)</f>
        <v>0</v>
      </c>
      <c r="E33" s="317"/>
    </row>
    <row r="34" spans="1:33" ht="15.95" thickBot="1">
      <c r="A34" s="294" t="s">
        <v>114</v>
      </c>
      <c r="B34" s="315">
        <f>SUM(B33,B21)</f>
        <v>0</v>
      </c>
      <c r="C34" s="315">
        <f t="shared" ref="C34:D34" si="3">SUM(C33,C21)</f>
        <v>0</v>
      </c>
      <c r="D34" s="315">
        <f t="shared" si="3"/>
        <v>0</v>
      </c>
      <c r="E34" s="317"/>
    </row>
    <row r="35" spans="1:33" ht="15.95" thickBot="1">
      <c r="A35" s="294" t="s">
        <v>115</v>
      </c>
      <c r="B35" s="315">
        <f>B15-B34+B11</f>
        <v>0</v>
      </c>
      <c r="C35" s="315">
        <f>C15-C34+C11</f>
        <v>0</v>
      </c>
      <c r="D35" s="315">
        <f>D15-D34+D11</f>
        <v>0</v>
      </c>
      <c r="E35" s="318"/>
    </row>
    <row r="36" spans="1:33" ht="15" thickBot="1">
      <c r="A36" s="297"/>
      <c r="B36" s="297"/>
      <c r="C36" s="297"/>
      <c r="D36" s="297"/>
      <c r="E36" s="297"/>
    </row>
    <row r="37" spans="1:33" ht="15.95" customHeight="1" thickBot="1">
      <c r="A37" s="405" t="s">
        <v>147</v>
      </c>
      <c r="B37" s="535" t="s">
        <v>147</v>
      </c>
      <c r="C37" s="535"/>
      <c r="D37" s="535"/>
      <c r="E37" s="406" t="s">
        <v>145</v>
      </c>
    </row>
    <row r="38" spans="1:33" ht="15.95" thickBot="1">
      <c r="A38" s="437" t="s">
        <v>148</v>
      </c>
      <c r="B38" s="402"/>
      <c r="C38" s="407"/>
      <c r="D38" s="407"/>
      <c r="E38" s="408"/>
    </row>
    <row r="39" spans="1:33" ht="15.95" thickBot="1">
      <c r="A39" s="437" t="s">
        <v>149</v>
      </c>
      <c r="B39" s="399">
        <v>0</v>
      </c>
      <c r="C39" s="400">
        <v>0</v>
      </c>
      <c r="D39" s="400">
        <v>0</v>
      </c>
      <c r="E39" s="401"/>
    </row>
    <row r="40" spans="1:33" ht="15" thickBot="1">
      <c r="A40" s="285"/>
      <c r="B40" s="285"/>
      <c r="C40" s="285"/>
      <c r="D40" s="285"/>
      <c r="E40" s="285"/>
    </row>
    <row r="41" spans="1:33" ht="15.95" thickBot="1">
      <c r="A41" s="532" t="s">
        <v>116</v>
      </c>
      <c r="B41" s="533" t="s">
        <v>92</v>
      </c>
      <c r="C41" s="533"/>
      <c r="D41" s="533"/>
      <c r="E41" s="534"/>
    </row>
    <row r="42" spans="1:33">
      <c r="A42" s="423" t="str" cm="1">
        <f t="array" ref="A42">_xlfn._xlws.FILTER(AG42:AG75,AF42:AF75=FALSE,"")</f>
        <v/>
      </c>
      <c r="B42" s="422"/>
      <c r="C42" s="422"/>
      <c r="D42" s="422"/>
      <c r="E42" s="422"/>
      <c r="AF42" s="193" t="b">
        <f t="shared" ref="AF42" si="4">AG42=""</f>
        <v>1</v>
      </c>
      <c r="AG42" s="193" t="str">
        <f>IF(AND(B17 &gt;= 1, B17 &lt;= 32500), "Jul-Dec - Coordinator Salary lower than average. Provide details in comments if this line item has an orange background", IF(B17 &gt; 44000, "Jul-Dec - Coordinator Salary higher than average. Provide details in comments if this line item has an orange background", ""))</f>
        <v/>
      </c>
    </row>
    <row r="43" spans="1:33">
      <c r="A43" s="424"/>
      <c r="B43" s="194"/>
      <c r="C43" s="194"/>
      <c r="D43" s="194"/>
      <c r="E43" s="194"/>
      <c r="AF43" s="193" t="b">
        <f t="shared" ref="AF43:AF75" si="5">AG43=""</f>
        <v>1</v>
      </c>
      <c r="AG43" s="193" t="str">
        <f>IF(AND(C17 &gt;= 1, C17 &lt;= 32500), "Jan-Jun - Coordinator Salary lower than average. Provide details in comments if this line item has an orange background", IF(C17 &gt; 44000, "Jan-Jun - Coordinator Salary higher than average. Provide details in comments if this line item has an orange background", ""))</f>
        <v/>
      </c>
    </row>
    <row r="44" spans="1:33">
      <c r="A44" s="424"/>
      <c r="B44" s="194"/>
      <c r="C44" s="194"/>
      <c r="D44" s="194"/>
      <c r="E44" s="194"/>
      <c r="AF44" s="193" t="b">
        <f t="shared" si="5"/>
        <v>1</v>
      </c>
      <c r="AG44" s="193" t="str">
        <f>IF(AND(D17 &gt;= 1, D17 &lt;= 44000), "Coordinator Salary lower than average. Provide details in comments if this line item has an orange background", IF(D17 &gt; 88000, "Coordinator Salary higher than average. Provide details in comments if this line item has an orange background", ""))</f>
        <v/>
      </c>
    </row>
    <row r="45" spans="1:33">
      <c r="A45" s="194"/>
      <c r="B45" s="194"/>
      <c r="C45" s="194"/>
      <c r="D45" s="194"/>
      <c r="E45" s="194"/>
      <c r="AF45" s="193" t="b">
        <f t="shared" si="5"/>
        <v>1</v>
      </c>
      <c r="AG45" s="193" t="str">
        <f>IF(AND(B18 &gt;= 1, B18 &lt;= 5000), "Jul-Dec - Line Manager Salary lower than average. Provide details in comments if this line item has an orange background", IF(B18 &gt; 7500, "Jul-Dec - Line Manager Salary higher than average. Provide details in comments if this line item has an orange background", ""))</f>
        <v/>
      </c>
    </row>
    <row r="46" spans="1:33">
      <c r="A46" s="194"/>
      <c r="B46" s="194"/>
      <c r="C46" s="194"/>
      <c r="D46" s="194"/>
      <c r="E46" s="194"/>
      <c r="AF46" s="193" t="b">
        <f t="shared" si="5"/>
        <v>1</v>
      </c>
      <c r="AG46" s="193" t="str">
        <f>IF(AND(D18 &gt;= 1, D18 &lt;= 5000), "Line Manager Salary lower than average. Provide details in comments if this line item has an orange background", IF(D18 &gt; 20000, "Line Manager Salary higher than average. Provide details in comments if this line item has an orange background", ""))</f>
        <v/>
      </c>
    </row>
    <row r="47" spans="1:33">
      <c r="A47" s="194"/>
      <c r="B47" s="194"/>
      <c r="C47" s="194"/>
      <c r="D47" s="194"/>
      <c r="E47" s="194"/>
      <c r="AF47" s="193" t="b">
        <f t="shared" si="5"/>
        <v>1</v>
      </c>
      <c r="AG47" s="193" t="str">
        <f>IF(B25&gt;1823,"Meetings and Gatherings higher than average, please provide details in the comments section","")</f>
        <v/>
      </c>
    </row>
    <row r="48" spans="1:33">
      <c r="A48" s="194"/>
      <c r="B48" s="194"/>
      <c r="C48" s="194"/>
      <c r="D48" s="194"/>
      <c r="E48" s="194"/>
      <c r="AF48" s="193" t="b">
        <f t="shared" si="5"/>
        <v>1</v>
      </c>
      <c r="AG48" s="193" t="str">
        <f>IF(C25&gt;1823,"Meetings and Gatherings higher than average, please provide details in the comments section","")</f>
        <v/>
      </c>
    </row>
    <row r="49" spans="1:33">
      <c r="A49" s="194"/>
      <c r="B49" s="194"/>
      <c r="C49" s="194"/>
      <c r="D49" s="194"/>
      <c r="E49" s="194"/>
      <c r="AF49" s="193" t="b">
        <f t="shared" si="5"/>
        <v>1</v>
      </c>
      <c r="AG49" s="193" t="str">
        <f>IF(D25&gt;3647,"Meetings and Gatherings higher than average, please provide details in the comments section","")</f>
        <v/>
      </c>
    </row>
    <row r="50" spans="1:33">
      <c r="A50" s="194"/>
      <c r="B50" s="194"/>
      <c r="C50" s="194"/>
      <c r="D50" s="194"/>
      <c r="E50" s="194"/>
      <c r="AF50" s="193" t="b">
        <f t="shared" si="5"/>
        <v>1</v>
      </c>
      <c r="AG50" s="193" t="str">
        <f>IF(AND(C18 &gt;= 1, C18 &lt;= 5000), "Jan-Jun - Line Manager Salary lower than average. Provide details in comments if this line item has an orange background", IF(C18 &gt; 7500, "Jan-Jun - Line Manager Salary higher than average. Provide details in comments if this line item has an orange background", ""))</f>
        <v/>
      </c>
    </row>
    <row r="51" spans="1:33">
      <c r="A51" s="194"/>
      <c r="B51" s="194"/>
      <c r="C51" s="194"/>
      <c r="D51" s="194"/>
      <c r="E51" s="194"/>
      <c r="AF51" s="193" t="b">
        <f t="shared" si="5"/>
        <v>1</v>
      </c>
      <c r="AG51" s="193" t="str">
        <f>IF((D31)&gt;6357,"Please provide details of the inclusions in the comments section","")</f>
        <v/>
      </c>
    </row>
    <row r="52" spans="1:33">
      <c r="A52" s="194"/>
      <c r="B52" s="194"/>
      <c r="C52" s="194"/>
      <c r="D52" s="194"/>
      <c r="E52" s="194"/>
      <c r="AF52" s="193" t="b">
        <f t="shared" si="5"/>
        <v>1</v>
      </c>
      <c r="AG52" s="193" t="str">
        <f>IFERROR(IF(D32&gt;SUM(D21,D23:D31)*15%,"Jul-Dec Actuals - Overheads higher than 15%. Provide details in comments if this line item has an orange background",""),"")</f>
        <v/>
      </c>
    </row>
    <row r="53" spans="1:33">
      <c r="A53" s="193"/>
      <c r="B53" s="193"/>
      <c r="C53" s="193"/>
      <c r="D53" s="193"/>
      <c r="E53" s="193"/>
      <c r="AF53" s="193" t="b">
        <f t="shared" si="5"/>
        <v>1</v>
      </c>
      <c r="AG53" s="193" t="str">
        <f>IFERROR(IF(B32&gt;SUM(B21,B23:B31)*15%,"Jan-Jun Actuals - Overheads higher than 15%. Provide details in comments if this line item has an orange background",""),"")</f>
        <v/>
      </c>
    </row>
    <row r="54" spans="1:33">
      <c r="A54" s="363" t="s">
        <v>37</v>
      </c>
      <c r="B54" s="285"/>
      <c r="C54" s="285"/>
      <c r="D54" s="285"/>
      <c r="E54" s="285"/>
      <c r="AF54" s="193" t="b">
        <f t="shared" si="5"/>
        <v>1</v>
      </c>
      <c r="AG54" s="193" t="str">
        <f>IFERROR(IF(C32&gt;SUM(C21,C23:C31)*15%,"Total Overheads higher than 15%. Provide details in comments if this line item has an orange background",""),"")</f>
        <v/>
      </c>
    </row>
    <row r="55" spans="1:33">
      <c r="A55" s="364">
        <v>3</v>
      </c>
      <c r="B55" s="339"/>
      <c r="C55" s="340"/>
      <c r="E55" s="285"/>
      <c r="AF55" s="193" t="b">
        <f t="shared" si="5"/>
        <v>1</v>
      </c>
      <c r="AG55" s="193" t="str">
        <f>IF(B20&gt;(B17+B18+B19)*17.5%,"Jul-Dec - Other employment higher than average. Please provide details","")</f>
        <v/>
      </c>
    </row>
    <row r="56" spans="1:33">
      <c r="A56" s="365">
        <v>45658</v>
      </c>
      <c r="B56" s="285"/>
      <c r="C56" s="285"/>
      <c r="D56" s="285"/>
      <c r="E56" s="285"/>
      <c r="AF56" s="193" t="b">
        <f t="shared" si="5"/>
        <v>1</v>
      </c>
      <c r="AG56" s="193" t="str">
        <f>IF(C20&gt;(C17+C18+C19)*17.5%,"Jan-Jun - Other employment higher than average. Please provide details","")</f>
        <v/>
      </c>
    </row>
    <row r="57" spans="1:33">
      <c r="A57" s="366" t="s">
        <v>150</v>
      </c>
      <c r="B57" s="285"/>
      <c r="C57" s="285"/>
      <c r="D57" s="285"/>
      <c r="E57" s="285"/>
      <c r="AF57" s="193" t="b">
        <f t="shared" si="5"/>
        <v>1</v>
      </c>
      <c r="AG57" s="342" t="str">
        <f>IF(B23&gt;6170,"Jul-Dec - Property Costs higher than avererage. Please provide details in the comments section","")</f>
        <v/>
      </c>
    </row>
    <row r="58" spans="1:33">
      <c r="A58" s="285"/>
      <c r="B58" s="285"/>
      <c r="C58" s="285"/>
      <c r="D58" s="285"/>
      <c r="E58" s="285"/>
      <c r="AF58" s="193" t="b">
        <f t="shared" si="5"/>
        <v>1</v>
      </c>
      <c r="AG58" s="342" t="str">
        <f>IF(C23&gt;6170,"Jan-Jun - Property Costs higher than avererage. Please provide details in the comments section","")</f>
        <v/>
      </c>
    </row>
    <row r="59" spans="1:33">
      <c r="A59" s="285"/>
      <c r="B59" s="285"/>
      <c r="C59" s="285"/>
      <c r="D59" s="285"/>
      <c r="E59" s="285"/>
      <c r="AF59" s="193" t="b">
        <f t="shared" si="5"/>
        <v>1</v>
      </c>
      <c r="AG59" s="193" t="str">
        <f>IF(B26&gt;4000,"Jul-Dec - Office Costs higher than avererage. Please provide details in the comments section","")</f>
        <v/>
      </c>
    </row>
    <row r="60" spans="1:33">
      <c r="A60" s="285"/>
      <c r="B60" s="285"/>
      <c r="C60" s="285"/>
      <c r="D60" s="285"/>
      <c r="E60" s="285"/>
      <c r="AF60" s="193" t="b">
        <f t="shared" si="5"/>
        <v>1</v>
      </c>
      <c r="AG60" s="342" t="str">
        <f>IF(C26&gt;4000,"Jan-Jun - Office Costs higher than avererage. Please provide details in the comments section","")</f>
        <v/>
      </c>
    </row>
    <row r="61" spans="1:33">
      <c r="A61" s="285"/>
      <c r="B61" s="285"/>
      <c r="C61" s="285"/>
      <c r="D61" s="285"/>
      <c r="E61" s="285"/>
      <c r="AF61" s="193" t="b">
        <f t="shared" si="5"/>
        <v>1</v>
      </c>
      <c r="AG61" s="342" t="str">
        <f>IF(B28&gt;3710,"Jul-Dec - Travel Costs higher than avererage. Please provide details in the comments section","")</f>
        <v/>
      </c>
    </row>
    <row r="62" spans="1:33">
      <c r="A62" s="285"/>
      <c r="B62" s="285"/>
      <c r="C62" s="285"/>
      <c r="D62" s="285"/>
      <c r="E62" s="285"/>
      <c r="AF62" s="193" t="b">
        <f t="shared" si="5"/>
        <v>1</v>
      </c>
      <c r="AG62" s="342" t="str">
        <f>IF(C28&gt;3710,"Jan-Jun - Travel Costs higher than avererage. Please provide details in the comments section","")</f>
        <v/>
      </c>
    </row>
    <row r="63" spans="1:33">
      <c r="A63" s="285"/>
      <c r="B63" s="285"/>
      <c r="C63" s="285"/>
      <c r="D63" s="285"/>
      <c r="E63" s="285"/>
      <c r="AF63" s="193" t="b">
        <f t="shared" si="5"/>
        <v>1</v>
      </c>
      <c r="AG63" s="342" t="str">
        <f>IF(AND(B29&lt;2000,B29&gt;1),"Jul-Dec - Professional development Coordinator lower than avererage. Please provide details in the comments section","")</f>
        <v/>
      </c>
    </row>
    <row r="64" spans="1:33">
      <c r="A64" s="285"/>
      <c r="B64" s="285"/>
      <c r="C64" s="285"/>
      <c r="D64" s="285"/>
      <c r="E64" s="285"/>
      <c r="AF64" s="193" t="b">
        <f t="shared" si="5"/>
        <v>1</v>
      </c>
      <c r="AG64" s="342" t="str">
        <f>IF(B29&gt;2109,"Jul-Dec - Professional development Coordinator higher than avererage. Please provide details in the comments section","")</f>
        <v/>
      </c>
    </row>
    <row r="65" spans="1:33">
      <c r="A65" s="285"/>
      <c r="B65" s="285"/>
      <c r="C65" s="285"/>
      <c r="D65" s="285"/>
      <c r="E65" s="285"/>
      <c r="AF65" s="193" t="b">
        <f t="shared" si="5"/>
        <v>1</v>
      </c>
      <c r="AG65" s="342" t="str">
        <f>IF(AND(B30&lt;4000,B30&gt;1),"Jul-Dec - Professional development Tutors lower than avererage. Please provide details in the comments section","")</f>
        <v/>
      </c>
    </row>
    <row r="66" spans="1:33">
      <c r="A66" s="285"/>
      <c r="B66" s="285"/>
      <c r="C66" s="285"/>
      <c r="D66" s="285"/>
      <c r="E66" s="285"/>
      <c r="AF66" s="193" t="b">
        <f t="shared" si="5"/>
        <v>1</v>
      </c>
      <c r="AG66" s="342" t="str">
        <f>IF(B30&gt;2300,"Jul-Dec - Professional development Tutor higher than avererage. Please provide details in the comments section","")</f>
        <v/>
      </c>
    </row>
    <row r="67" spans="1:33">
      <c r="A67" s="285"/>
      <c r="B67" s="285"/>
      <c r="C67" s="285"/>
      <c r="D67" s="285"/>
      <c r="E67" s="285"/>
      <c r="AF67" s="193" t="b">
        <f t="shared" si="5"/>
        <v>1</v>
      </c>
      <c r="AG67" s="342" t="str">
        <f>IF(AND(C29&lt;2000,C29&gt;1),"Jan-Jun - Professional development Coordinator lower than avererage. Please provide details in the comments section","")</f>
        <v/>
      </c>
    </row>
    <row r="68" spans="1:33">
      <c r="AF68" s="193" t="b">
        <f t="shared" si="5"/>
        <v>1</v>
      </c>
      <c r="AG68" s="342" t="str">
        <f>IF(C29&gt;2109,"Jan-Jun - Professional development Coordinator higher than avererage. Please provide details in the comments section","")</f>
        <v/>
      </c>
    </row>
    <row r="69" spans="1:33">
      <c r="AF69" s="193" t="b">
        <f t="shared" si="5"/>
        <v>1</v>
      </c>
      <c r="AG69" s="342" t="str">
        <f>IF(AND(C30&lt;4000,C30&gt;1),"Jan-Jun - Professional development Tutors lower than avererage. Please provide details in the comments section","")</f>
        <v/>
      </c>
    </row>
    <row r="70" spans="1:33">
      <c r="AF70" s="193" t="b">
        <f t="shared" si="5"/>
        <v>1</v>
      </c>
      <c r="AG70" s="342" t="str">
        <f>IF(C30&gt;2300,"Jan-Jun - Professional development Tutor higher than avererage. Please provide details in the comments section","")</f>
        <v/>
      </c>
    </row>
    <row r="71" spans="1:33">
      <c r="AF71" s="193" t="b">
        <f t="shared" si="5"/>
        <v>1</v>
      </c>
      <c r="AG71" s="342" t="str">
        <f>IF(B31&gt;3178,"Jul-Dec - Other - higher than avererage. Please provide details in the comments section","")</f>
        <v/>
      </c>
    </row>
    <row r="72" spans="1:33">
      <c r="AF72" s="193" t="b">
        <f t="shared" si="5"/>
        <v>1</v>
      </c>
      <c r="AG72" s="342" t="str">
        <f>IF(C31&gt;3178,"Jan-Jun - Other - higher than avererage. Please provide details in the comments section","")</f>
        <v/>
      </c>
    </row>
    <row r="73" spans="1:33">
      <c r="AF73" s="193" t="b">
        <f t="shared" si="5"/>
        <v>1</v>
      </c>
      <c r="AG73" s="193" t="str">
        <f>IF(B24&gt;3564,"Jul-Dec - Materials and Resources - higher than avererage. Please provide details in the comments section","")</f>
        <v/>
      </c>
    </row>
    <row r="74" spans="1:33">
      <c r="AF74" s="193" t="b">
        <f t="shared" si="5"/>
        <v>1</v>
      </c>
      <c r="AG74" s="342" t="str">
        <f>IF(C24&gt;3564,"Jan-Jun - Materials and Resources - higher than avererage. Please provide details in the comments section","")</f>
        <v/>
      </c>
    </row>
    <row r="75" spans="1:33">
      <c r="AF75" s="193" t="b">
        <f t="shared" si="5"/>
        <v>1</v>
      </c>
      <c r="AG75" s="342" t="str">
        <f>IF(C25&gt;7129,"Materials and Resources - higher than avererage. Please provide details in the comments section","")</f>
        <v/>
      </c>
    </row>
  </sheetData>
  <sheetProtection algorithmName="SHA-512" hashValue="YYq6bvMM9JaUcclD28e/7Uc7kf3Z2iCoDTmdB/Un4dRkSIHTYHZcsTsfpj9uVE1MM2psx7/o19HlLCY+P7vXhQ==" saltValue="cQwbaExMXdHMDwatBlDj1g==" spinCount="100000" sheet="1" objects="1" scenarios="1"/>
  <mergeCells count="7">
    <mergeCell ref="A41:E41"/>
    <mergeCell ref="B7:D7"/>
    <mergeCell ref="B1:E1"/>
    <mergeCell ref="B37:D37"/>
    <mergeCell ref="B12:D12"/>
    <mergeCell ref="B16:D16"/>
    <mergeCell ref="B22:D22"/>
  </mergeCells>
  <conditionalFormatting sqref="B20">
    <cfRule type="expression" dxfId="194" priority="134">
      <formula>$B$20&gt;($B$17+$B$18+$B$19)*18%</formula>
    </cfRule>
  </conditionalFormatting>
  <conditionalFormatting sqref="B30">
    <cfRule type="expression" dxfId="193" priority="94">
      <formula>AND($B$30&gt;1,$B$30&lt;4000)</formula>
    </cfRule>
  </conditionalFormatting>
  <conditionalFormatting sqref="B32">
    <cfRule type="expression" dxfId="192" priority="176">
      <formula>$B$32&gt;SUM($B$21,$B$23:$B$31)*15%</formula>
    </cfRule>
  </conditionalFormatting>
  <conditionalFormatting sqref="B38">
    <cfRule type="cellIs" dxfId="191" priority="43" operator="greaterThan">
      <formula>4000</formula>
    </cfRule>
  </conditionalFormatting>
  <conditionalFormatting sqref="B39">
    <cfRule type="expression" dxfId="190" priority="7">
      <formula>$B$11&lt;&gt;$B$39</formula>
    </cfRule>
  </conditionalFormatting>
  <conditionalFormatting sqref="B17:C17">
    <cfRule type="cellIs" dxfId="189" priority="164" operator="between">
      <formula>1</formula>
      <formula>32500</formula>
    </cfRule>
    <cfRule type="cellIs" dxfId="188" priority="163" operator="greaterThan">
      <formula>44000</formula>
    </cfRule>
  </conditionalFormatting>
  <conditionalFormatting sqref="B18:C18">
    <cfRule type="cellIs" dxfId="187" priority="151" operator="greaterThan">
      <formula>7500</formula>
    </cfRule>
  </conditionalFormatting>
  <conditionalFormatting sqref="B23:C23">
    <cfRule type="cellIs" dxfId="186" priority="127" operator="greaterThan">
      <formula>6170</formula>
    </cfRule>
  </conditionalFormatting>
  <conditionalFormatting sqref="B24:C24">
    <cfRule type="cellIs" dxfId="185" priority="32" operator="greaterThan">
      <formula>3564</formula>
    </cfRule>
  </conditionalFormatting>
  <conditionalFormatting sqref="B25:C25">
    <cfRule type="cellIs" dxfId="184" priority="50" operator="greaterThan">
      <formula>1823</formula>
    </cfRule>
  </conditionalFormatting>
  <conditionalFormatting sqref="B26:C26">
    <cfRule type="cellIs" dxfId="183" priority="123" operator="greaterThan">
      <formula>4000</formula>
    </cfRule>
  </conditionalFormatting>
  <conditionalFormatting sqref="B27:C27">
    <cfRule type="cellIs" dxfId="182" priority="26" operator="greaterThan">
      <formula>1090</formula>
    </cfRule>
  </conditionalFormatting>
  <conditionalFormatting sqref="B28:C28">
    <cfRule type="cellIs" dxfId="181" priority="116" operator="greaterThan">
      <formula>3710</formula>
    </cfRule>
  </conditionalFormatting>
  <conditionalFormatting sqref="B30:C30">
    <cfRule type="cellIs" dxfId="180" priority="62" operator="greaterThan">
      <formula>5000</formula>
    </cfRule>
  </conditionalFormatting>
  <conditionalFormatting sqref="B18:D18">
    <cfRule type="cellIs" dxfId="179" priority="150" operator="between">
      <formula>1</formula>
      <formula>5000</formula>
    </cfRule>
  </conditionalFormatting>
  <conditionalFormatting sqref="C20">
    <cfRule type="expression" dxfId="178" priority="133">
      <formula>$C$20&gt;($C$17+$C$18+$C$19)*18%</formula>
    </cfRule>
  </conditionalFormatting>
  <conditionalFormatting sqref="C26">
    <cfRule type="cellIs" dxfId="177" priority="124" operator="greaterThan">
      <formula>8000</formula>
    </cfRule>
  </conditionalFormatting>
  <conditionalFormatting sqref="C30">
    <cfRule type="cellIs" dxfId="176" priority="63" operator="between">
      <formula>1</formula>
      <formula>4000</formula>
    </cfRule>
  </conditionalFormatting>
  <conditionalFormatting sqref="C32">
    <cfRule type="expression" dxfId="175" priority="9">
      <formula>$C$32&gt;SUM($C$21,$C$23:$C$31)*15%</formula>
    </cfRule>
  </conditionalFormatting>
  <conditionalFormatting sqref="C39">
    <cfRule type="expression" dxfId="174" priority="6">
      <formula>$C$11&lt;&gt;$C$39</formula>
    </cfRule>
  </conditionalFormatting>
  <conditionalFormatting sqref="D17">
    <cfRule type="expression" dxfId="173" priority="225">
      <formula>AND($B$17&gt;1,$B$17&lt;32500)</formula>
    </cfRule>
    <cfRule type="expression" dxfId="172" priority="143">
      <formula>AND($C$17&gt;1,$C$17&lt;32500)</formula>
    </cfRule>
    <cfRule type="cellIs" dxfId="171" priority="142" operator="greaterThan">
      <formula>88000</formula>
    </cfRule>
  </conditionalFormatting>
  <conditionalFormatting sqref="D18">
    <cfRule type="expression" dxfId="170" priority="149">
      <formula>$B$18&gt;7500</formula>
    </cfRule>
    <cfRule type="expression" dxfId="169" priority="140">
      <formula>C18&gt;7500</formula>
    </cfRule>
  </conditionalFormatting>
  <conditionalFormatting sqref="D20">
    <cfRule type="expression" dxfId="168" priority="132">
      <formula>$D$20&gt;($D$17+$D$18+$D$19)*18%</formula>
    </cfRule>
  </conditionalFormatting>
  <conditionalFormatting sqref="D23">
    <cfRule type="cellIs" dxfId="167" priority="126" operator="greaterThan">
      <formula>12340</formula>
    </cfRule>
  </conditionalFormatting>
  <conditionalFormatting sqref="D24">
    <cfRule type="cellIs" dxfId="166" priority="31" operator="greaterThan">
      <formula>7129</formula>
    </cfRule>
  </conditionalFormatting>
  <conditionalFormatting sqref="D25">
    <cfRule type="cellIs" dxfId="165" priority="49" operator="greaterThan">
      <formula>3647</formula>
    </cfRule>
  </conditionalFormatting>
  <conditionalFormatting sqref="D26">
    <cfRule type="expression" dxfId="164" priority="122">
      <formula>($B$26+$C$26)&gt;8000</formula>
    </cfRule>
  </conditionalFormatting>
  <conditionalFormatting sqref="D27">
    <cfRule type="cellIs" dxfId="163" priority="25" operator="greaterThan">
      <formula>2180</formula>
    </cfRule>
  </conditionalFormatting>
  <conditionalFormatting sqref="D29">
    <cfRule type="cellIs" dxfId="162" priority="19" operator="greaterThan">
      <formula>2109</formula>
    </cfRule>
  </conditionalFormatting>
  <conditionalFormatting sqref="D30">
    <cfRule type="expression" dxfId="161" priority="59">
      <formula>AND($C$30&gt;1,$C$30&lt;4000)</formula>
    </cfRule>
    <cfRule type="expression" dxfId="160" priority="58">
      <formula>AND($B$30&gt;1,$B$30&lt;4000)</formula>
    </cfRule>
    <cfRule type="cellIs" dxfId="159" priority="57" operator="greaterThan">
      <formula>10000</formula>
    </cfRule>
  </conditionalFormatting>
  <conditionalFormatting sqref="D28:E28">
    <cfRule type="expression" dxfId="158" priority="110">
      <formula>"($B$28+$C$28)&gt;7420"</formula>
    </cfRule>
    <cfRule type="expression" dxfId="157" priority="111">
      <formula>$C$28&gt;3710</formula>
    </cfRule>
    <cfRule type="expression" dxfId="156" priority="112">
      <formula>$B$28&gt;3710</formula>
    </cfRule>
  </conditionalFormatting>
  <conditionalFormatting sqref="D29:E29">
    <cfRule type="expression" dxfId="155" priority="17">
      <formula>$C$29&gt;1054</formula>
    </cfRule>
    <cfRule type="expression" dxfId="154" priority="18">
      <formula>$B$29&gt;1054</formula>
    </cfRule>
  </conditionalFormatting>
  <conditionalFormatting sqref="D31:E31">
    <cfRule type="expression" dxfId="153" priority="12">
      <formula>$B$31&gt;3178</formula>
    </cfRule>
    <cfRule type="expression" dxfId="152" priority="10">
      <formula>$D$31&gt;6357</formula>
    </cfRule>
    <cfRule type="expression" dxfId="151" priority="11">
      <formula>$C$31&gt;3178</formula>
    </cfRule>
  </conditionalFormatting>
  <conditionalFormatting sqref="D32:E32">
    <cfRule type="expression" dxfId="150" priority="8">
      <formula>$D$32&gt;SUM($D$21,$D$23:$D$31)*15%</formula>
    </cfRule>
  </conditionalFormatting>
  <conditionalFormatting sqref="D39:E39">
    <cfRule type="expression" dxfId="149" priority="1">
      <formula>$D$11&lt;&gt;$D$39</formula>
    </cfRule>
  </conditionalFormatting>
  <conditionalFormatting sqref="E17">
    <cfRule type="expression" dxfId="148" priority="146">
      <formula>AND($B$17&gt;1,$B$17&lt;32500)</formula>
    </cfRule>
    <cfRule type="expression" dxfId="147" priority="144">
      <formula>C17&gt;44000</formula>
    </cfRule>
    <cfRule type="expression" dxfId="146" priority="145">
      <formula>AND($C$17&gt;1,$C$17&lt;32500)</formula>
    </cfRule>
    <cfRule type="expression" dxfId="145" priority="141">
      <formula>$B$17&gt;44000</formula>
    </cfRule>
  </conditionalFormatting>
  <conditionalFormatting sqref="E18">
    <cfRule type="expression" dxfId="144" priority="137">
      <formula>AND($B$18&gt;1,$B$18&lt;5000)</formula>
    </cfRule>
    <cfRule type="expression" dxfId="143" priority="136">
      <formula>AND(C18&gt;1,C18&lt;5000)</formula>
    </cfRule>
    <cfRule type="expression" dxfId="142" priority="139">
      <formula>$B$18&gt;10000</formula>
    </cfRule>
    <cfRule type="expression" dxfId="141" priority="138">
      <formula>$C$18&gt;10000</formula>
    </cfRule>
  </conditionalFormatting>
  <conditionalFormatting sqref="E20">
    <cfRule type="expression" dxfId="140" priority="131">
      <formula>$B$20&gt;($B$17+$B$18+$B$19)*18%</formula>
    </cfRule>
    <cfRule type="expression" dxfId="139" priority="129">
      <formula>$D$20&gt;($D$17+$D$18+$D$19)*18%</formula>
    </cfRule>
    <cfRule type="expression" dxfId="138" priority="130">
      <formula>$C$20&gt;($C$17+$C$18+$C$19)*18%</formula>
    </cfRule>
  </conditionalFormatting>
  <conditionalFormatting sqref="E23">
    <cfRule type="expression" dxfId="137" priority="47">
      <formula>$C$23&gt;6170</formula>
    </cfRule>
    <cfRule type="expression" dxfId="136" priority="46">
      <formula>$D$23&gt;12340</formula>
    </cfRule>
    <cfRule type="expression" dxfId="135" priority="95">
      <formula>$B$23&gt;6170</formula>
    </cfRule>
  </conditionalFormatting>
  <conditionalFormatting sqref="E24">
    <cfRule type="expression" dxfId="134" priority="28">
      <formula>$B$24&gt;3564</formula>
    </cfRule>
    <cfRule type="expression" dxfId="133" priority="29">
      <formula>$C$24&gt;3564</formula>
    </cfRule>
    <cfRule type="expression" dxfId="132" priority="27">
      <formula>$D$24&gt;7129</formula>
    </cfRule>
  </conditionalFormatting>
  <conditionalFormatting sqref="E25">
    <cfRule type="expression" dxfId="131" priority="48">
      <formula>$B$25&gt;1823</formula>
    </cfRule>
    <cfRule type="expression" dxfId="130" priority="45">
      <formula>$C$25&gt;1823</formula>
    </cfRule>
    <cfRule type="expression" dxfId="129" priority="44">
      <formula>$D$25&gt;3647</formula>
    </cfRule>
  </conditionalFormatting>
  <conditionalFormatting sqref="E26">
    <cfRule type="expression" dxfId="128" priority="121">
      <formula>$B$26&gt;4000</formula>
    </cfRule>
    <cfRule type="expression" dxfId="127" priority="120">
      <formula>$C$26&gt;4000</formula>
    </cfRule>
    <cfRule type="expression" dxfId="126" priority="119">
      <formula>"($B$26+$C$26)&gt;8000"</formula>
    </cfRule>
  </conditionalFormatting>
  <conditionalFormatting sqref="E27">
    <cfRule type="expression" dxfId="125" priority="22">
      <formula>$D$27&gt;2180</formula>
    </cfRule>
    <cfRule type="expression" dxfId="124" priority="24">
      <formula>$B$27&gt;1090</formula>
    </cfRule>
    <cfRule type="expression" dxfId="123" priority="23">
      <formula>$C$27&gt;1090</formula>
    </cfRule>
  </conditionalFormatting>
  <conditionalFormatting sqref="E29">
    <cfRule type="expression" dxfId="122" priority="16">
      <formula>$D$29&gt;2109</formula>
    </cfRule>
  </conditionalFormatting>
  <conditionalFormatting sqref="E30">
    <cfRule type="expression" dxfId="121" priority="53">
      <formula>$B$30&gt;5000</formula>
    </cfRule>
    <cfRule type="expression" dxfId="120" priority="54">
      <formula>$C$30&gt;5000</formula>
    </cfRule>
    <cfRule type="expression" dxfId="119" priority="55">
      <formula>AND($B$30&gt;1,$B$30&lt;4000)</formula>
    </cfRule>
    <cfRule type="expression" dxfId="118" priority="56">
      <formula>AND($C$30&gt;1,$C$30&lt;4000)</formula>
    </cfRule>
  </conditionalFormatting>
  <conditionalFormatting sqref="E32">
    <cfRule type="expression" dxfId="117" priority="160">
      <formula>$B$32&gt;SUM($B$21,$B$23:$B$31)*15%</formula>
    </cfRule>
    <cfRule type="expression" dxfId="116" priority="161">
      <formula>$C$32&gt;SUM($C$21,$C$23:$C$31)*15%</formula>
    </cfRule>
  </conditionalFormatting>
  <conditionalFormatting sqref="E39">
    <cfRule type="expression" dxfId="115" priority="2">
      <formula>$C$11&lt;&gt;$C$39</formula>
    </cfRule>
    <cfRule type="expression" dxfId="114" priority="3">
      <formula>$B$11&lt;&gt;$B$39</formula>
    </cfRule>
  </conditionalFormatting>
  <hyperlinks>
    <hyperlink ref="A11" location="Instructions!A6" display="Approved FY22/23 surplus" xr:uid="{FA111C97-78A3-4E19-99CF-BBCF0CCA67E9}"/>
    <hyperlink ref="A13" location="Instructions!A7" display="Income from HIPPY Australia" xr:uid="{CDDA3B32-9EFC-4038-B1CE-3AB9B22053FE}"/>
    <hyperlink ref="A14" location="Instructions!A8" display="Other income" xr:uid="{7134AD98-A636-42F0-B854-3CE4C3E9F2AD}"/>
    <hyperlink ref="A17" location="Instructions!A9" display="Coordinator(s)" xr:uid="{B2830B06-D869-4763-8494-1CA69836716A}"/>
    <hyperlink ref="A18" location="Instructions!A10" display="Line Manager(s)" xr:uid="{340BF25B-8BBB-469D-9C2F-CC1D059CBBF5}"/>
    <hyperlink ref="A19" location="Instructions!A11" display="Tutors" xr:uid="{66AFDD00-1442-41E4-BA45-C705E8E81711}"/>
    <hyperlink ref="A20" location="Instructions!A12" display="Other employment" xr:uid="{323CE023-1E60-41E6-B7F7-1CF3D42A12D9}"/>
    <hyperlink ref="A23" location="Instructions!A13" display="Property costs" xr:uid="{2A8E8636-C00A-409E-B4A6-C9B4CAECC1E6}"/>
    <hyperlink ref="A24" location="Instructions!A14" display="Materials &amp; resources" xr:uid="{3D391456-10E3-4D46-81D7-39AEBAC018A2}"/>
    <hyperlink ref="A25" location="Instructions!A15" display="Meetings &amp; gatherings" xr:uid="{8C5CFFA5-5662-405D-AF33-02358EA1D6CA}"/>
    <hyperlink ref="A27" location="Instructions!A17" display="Promotional costs" xr:uid="{CC4B8BFC-9591-400B-9895-AE44A10529E1}"/>
    <hyperlink ref="A28" location="Instructions!A18" display="Travel" xr:uid="{5EFF4E50-DC93-495B-9785-BC39E0684A0D}"/>
    <hyperlink ref="A29" location="Instructions!A19" display="Professional development - Coordinator" xr:uid="{D5EFA1CC-6FE3-441A-B149-50B7E229D123}"/>
    <hyperlink ref="A31" location="Instructions!A21" display="Other " xr:uid="{94C23636-D742-42C8-A80B-CE8610DE3BFC}"/>
    <hyperlink ref="A32" location="Instructions!A22" display="Overhead costs" xr:uid="{1C4A5CCB-0C13-430F-BFC0-FE4C5C750553}"/>
    <hyperlink ref="A26" location="Instructions!A16" display="Office costs" xr:uid="{6DA0DBA9-95AD-4520-B480-548B875F8B38}"/>
    <hyperlink ref="A30" location="Instructions!A20" display="Professional development - Tutors" xr:uid="{F269DA09-0DF9-47B4-962A-91D6DE72A2F5}"/>
    <hyperlink ref="A38" location="Instructions!A30" display="Contract Liability as of [Date]" xr:uid="{C7D186F9-237E-48DC-AFFE-49ADD6F19C8C}"/>
    <hyperlink ref="A39" location="Instructions!A30" display="Contract Liability - Amount" xr:uid="{C40B0828-FC93-4316-ACDD-5AD78C13C96B}"/>
  </hyperlinks>
  <printOptions horizontalCentered="1" verticalCentered="1"/>
  <pageMargins left="0.7" right="0.7" top="0.75" bottom="0.75" header="0.3" footer="0.3"/>
  <pageSetup paperSize="9" scale="75" orientation="portrait" r:id="rId1"/>
  <headerFooter>
    <oddHeader>&amp;L&amp;"Calibri"&amp;12&amp;K000000 OFFICIAL&amp;1#_x000D_</oddHeader>
  </headerFooter>
  <ignoredErrors>
    <ignoredError sqref="D23:D32 B21:C21 B15:D15 D10:D11 D13:D14 D17:D21 B33:D35 B8" unlocked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2C316-EF81-401C-B338-D2301CE4B9D5}">
  <sheetPr codeName="Sheet6">
    <tabColor theme="3" tint="0.59999389629810485"/>
  </sheetPr>
  <dimension ref="A1:AJ69"/>
  <sheetViews>
    <sheetView topLeftCell="A26" zoomScaleNormal="100" workbookViewId="0">
      <selection activeCell="D21" sqref="D21"/>
    </sheetView>
  </sheetViews>
  <sheetFormatPr defaultColWidth="9.140625" defaultRowHeight="14.45"/>
  <cols>
    <col min="1" max="1" width="45.28515625" style="3" customWidth="1"/>
    <col min="2" max="2" width="15.7109375" style="125" customWidth="1"/>
    <col min="3" max="3" width="56.42578125" style="125" customWidth="1"/>
    <col min="4" max="22" width="16.140625" style="125" customWidth="1"/>
    <col min="23" max="24" width="16.140625" style="367" customWidth="1"/>
    <col min="25" max="25" width="16.140625" style="368" hidden="1" customWidth="1"/>
    <col min="26" max="26" width="49.42578125" style="215" hidden="1" customWidth="1"/>
    <col min="27" max="27" width="6.140625" style="215" bestFit="1" customWidth="1"/>
    <col min="28" max="28" width="9.140625" style="215"/>
    <col min="29" max="16384" width="9.140625" style="3"/>
  </cols>
  <sheetData>
    <row r="1" spans="1:28" ht="75.75" customHeight="1">
      <c r="A1" s="13"/>
      <c r="B1" s="186" t="s">
        <v>151</v>
      </c>
      <c r="C1" s="186"/>
      <c r="D1" s="3"/>
      <c r="E1" s="3"/>
      <c r="F1" s="3"/>
      <c r="G1" s="3"/>
      <c r="H1" s="3"/>
      <c r="I1" s="3"/>
      <c r="J1" s="3"/>
      <c r="K1" s="3"/>
      <c r="L1" s="3"/>
      <c r="M1" s="3"/>
      <c r="N1" s="3"/>
      <c r="O1" s="3"/>
      <c r="P1" s="3"/>
      <c r="Q1" s="3"/>
      <c r="R1" s="3"/>
      <c r="S1" s="3"/>
      <c r="T1" s="3"/>
      <c r="U1" s="3"/>
      <c r="V1" s="3"/>
      <c r="W1" s="215"/>
      <c r="X1" s="215"/>
      <c r="Y1" s="215"/>
    </row>
    <row r="2" spans="1:28" ht="20.100000000000001" customHeight="1">
      <c r="A2" s="13"/>
      <c r="B2" s="143" t="s">
        <v>78</v>
      </c>
      <c r="C2" s="187"/>
      <c r="D2" s="3"/>
      <c r="E2" s="3"/>
      <c r="F2" s="3"/>
      <c r="G2" s="3"/>
      <c r="H2" s="3"/>
      <c r="I2" s="3"/>
      <c r="J2" s="3"/>
      <c r="K2" s="3"/>
      <c r="L2" s="3"/>
      <c r="M2" s="3"/>
      <c r="N2" s="3"/>
      <c r="O2" s="3"/>
      <c r="P2" s="3"/>
      <c r="Q2" s="3"/>
      <c r="R2" s="3"/>
      <c r="S2" s="3"/>
      <c r="T2" s="3"/>
      <c r="U2" s="3"/>
      <c r="V2" s="3"/>
      <c r="W2" s="215"/>
      <c r="X2" s="215"/>
      <c r="Y2" s="215"/>
    </row>
    <row r="3" spans="1:28" ht="20.100000000000001" customHeight="1">
      <c r="A3" s="13"/>
      <c r="B3" s="144" t="s">
        <v>152</v>
      </c>
      <c r="C3" s="187"/>
      <c r="D3" s="3"/>
      <c r="E3" s="3"/>
      <c r="F3" s="3"/>
      <c r="G3" s="3"/>
      <c r="H3" s="3"/>
      <c r="I3" s="3"/>
      <c r="J3" s="3"/>
      <c r="K3" s="3"/>
      <c r="L3" s="3"/>
      <c r="M3" s="3"/>
      <c r="N3" s="3"/>
      <c r="O3" s="3"/>
      <c r="P3" s="3"/>
      <c r="Q3" s="3"/>
      <c r="R3" s="3"/>
      <c r="S3" s="3"/>
      <c r="T3" s="3"/>
      <c r="U3" s="3"/>
      <c r="V3" s="3"/>
      <c r="W3" s="215"/>
      <c r="X3" s="215"/>
      <c r="Y3" s="215"/>
    </row>
    <row r="4" spans="1:28" ht="20.100000000000001" customHeight="1">
      <c r="A4" s="13"/>
      <c r="B4" s="361" t="s">
        <v>80</v>
      </c>
      <c r="C4" s="187"/>
      <c r="D4" s="3"/>
      <c r="E4" s="3"/>
      <c r="F4" s="3"/>
      <c r="G4" s="3"/>
      <c r="H4" s="3"/>
      <c r="I4" s="3"/>
      <c r="J4" s="3"/>
      <c r="K4" s="3"/>
      <c r="L4" s="3"/>
      <c r="M4" s="3"/>
      <c r="N4" s="3"/>
      <c r="O4" s="3"/>
      <c r="P4" s="3"/>
      <c r="Q4" s="3"/>
      <c r="R4" s="3"/>
      <c r="S4" s="3"/>
      <c r="T4" s="3"/>
      <c r="U4" s="3"/>
      <c r="V4" s="3"/>
      <c r="W4" s="215"/>
      <c r="X4" s="215"/>
      <c r="Y4" s="215"/>
    </row>
    <row r="5" spans="1:28" ht="30.75" customHeight="1">
      <c r="A5" s="13"/>
      <c r="B5" s="538" t="s">
        <v>153</v>
      </c>
      <c r="C5" s="538"/>
      <c r="D5" s="3"/>
      <c r="E5" s="3"/>
      <c r="F5" s="3"/>
      <c r="G5" s="3"/>
      <c r="H5" s="3"/>
      <c r="I5" s="3"/>
      <c r="J5" s="3"/>
      <c r="K5" s="3"/>
      <c r="L5" s="3"/>
      <c r="M5" s="3"/>
      <c r="N5" s="3"/>
      <c r="O5" s="3"/>
      <c r="P5" s="3"/>
      <c r="Q5" s="3"/>
      <c r="R5" s="3"/>
      <c r="S5" s="3"/>
      <c r="T5" s="3"/>
      <c r="U5" s="3"/>
      <c r="V5" s="3"/>
      <c r="W5" s="215"/>
      <c r="X5" s="215"/>
      <c r="Y5" s="215"/>
    </row>
    <row r="6" spans="1:28">
      <c r="Z6" s="369"/>
      <c r="AA6" s="369"/>
    </row>
    <row r="7" spans="1:28" ht="20.100000000000001" customHeight="1">
      <c r="A7" s="286" t="s">
        <v>81</v>
      </c>
      <c r="B7" s="539"/>
      <c r="C7" s="539"/>
      <c r="D7" s="285"/>
      <c r="E7" s="3"/>
      <c r="F7" s="3"/>
      <c r="G7" s="3"/>
      <c r="H7" s="3"/>
      <c r="I7" s="3"/>
      <c r="J7" s="3"/>
      <c r="K7" s="3"/>
      <c r="L7" s="3"/>
      <c r="M7" s="3"/>
      <c r="N7" s="3"/>
      <c r="O7" s="3"/>
      <c r="P7" s="3"/>
      <c r="Q7" s="3"/>
      <c r="R7" s="3"/>
      <c r="S7" s="3"/>
      <c r="T7" s="3"/>
      <c r="U7" s="3"/>
      <c r="V7" s="3"/>
      <c r="W7" s="215"/>
      <c r="X7" s="215"/>
      <c r="Y7" s="215"/>
      <c r="AA7" s="369"/>
    </row>
    <row r="8" spans="1:28" ht="20.100000000000001" customHeight="1">
      <c r="A8" s="286" t="s">
        <v>82</v>
      </c>
      <c r="B8" s="288" t="str">
        <f>_xlfn.CONCAT(Lists!$I$25)</f>
        <v>FY 25/26</v>
      </c>
      <c r="C8" s="319"/>
      <c r="D8" s="319"/>
      <c r="E8" s="129"/>
      <c r="F8" s="129"/>
      <c r="G8" s="129"/>
      <c r="H8" s="129"/>
      <c r="I8" s="129"/>
      <c r="J8" s="129"/>
      <c r="K8" s="129"/>
      <c r="L8" s="129"/>
      <c r="M8" s="129"/>
      <c r="N8" s="129"/>
      <c r="O8" s="129"/>
      <c r="P8" s="129"/>
      <c r="Q8" s="129"/>
      <c r="R8" s="129"/>
      <c r="S8" s="129"/>
      <c r="T8" s="129"/>
      <c r="U8" s="129"/>
      <c r="V8" s="129"/>
      <c r="W8" s="370"/>
      <c r="X8" s="370"/>
      <c r="Y8" s="371"/>
      <c r="Z8" s="372"/>
      <c r="AA8" s="369"/>
    </row>
    <row r="9" spans="1:28" ht="15.95" thickBot="1">
      <c r="A9" s="286"/>
      <c r="B9" s="288"/>
      <c r="C9" s="320"/>
      <c r="D9" s="231"/>
      <c r="E9" s="131"/>
      <c r="F9" s="131"/>
      <c r="G9" s="131"/>
      <c r="H9" s="131"/>
      <c r="I9" s="131"/>
      <c r="J9" s="131"/>
      <c r="K9" s="131"/>
      <c r="L9" s="131"/>
      <c r="M9" s="131"/>
      <c r="N9" s="131"/>
      <c r="O9" s="131"/>
      <c r="P9" s="131"/>
      <c r="Q9" s="131"/>
      <c r="R9" s="131"/>
      <c r="S9" s="131"/>
      <c r="T9" s="131"/>
      <c r="U9" s="231"/>
      <c r="V9" s="131"/>
      <c r="W9" s="373"/>
      <c r="X9" s="373"/>
      <c r="Y9" s="216" t="b">
        <f>Z9=""</f>
        <v>1</v>
      </c>
      <c r="Z9" s="216" t="str">
        <f>IF(AND(B17 &gt;= 1, B17 &lt;= 65000), "Coordinator Salary lower than average. Provide details in comments if this line item has an orange background", IF(B17 &gt; 88000, "Coordinator Salary higher than average. Provide details in comments if this line item has an orange background", ""))</f>
        <v/>
      </c>
      <c r="AA9" s="369"/>
    </row>
    <row r="10" spans="1:28" ht="30.95">
      <c r="A10" s="140" t="s">
        <v>84</v>
      </c>
      <c r="B10" s="127" t="s">
        <v>154</v>
      </c>
      <c r="C10" s="150" t="s">
        <v>145</v>
      </c>
      <c r="D10" s="285"/>
      <c r="E10" s="3"/>
      <c r="F10" s="3"/>
      <c r="G10" s="3"/>
      <c r="H10" s="3"/>
      <c r="I10" s="3"/>
      <c r="J10" s="3"/>
      <c r="K10" s="3"/>
      <c r="L10" s="3"/>
      <c r="M10" s="3"/>
      <c r="N10" s="3"/>
      <c r="O10" s="3"/>
      <c r="P10" s="3"/>
      <c r="Q10" s="3"/>
      <c r="R10" s="3"/>
      <c r="S10" s="3"/>
      <c r="T10" s="3"/>
      <c r="U10" s="3"/>
      <c r="V10" s="3"/>
      <c r="W10" s="215"/>
      <c r="X10" s="215"/>
      <c r="Y10" s="216" t="b">
        <f>Z10=""</f>
        <v>1</v>
      </c>
      <c r="Z10" s="216" t="str">
        <f>IF(AND(B18 &gt;= 1, B18 &lt;= 5000), "Line Manager Salary lower than average. Provide details in comments if this line item has an orange background", IF(B18 &gt; 20000, "Line Manager Salary higher than average. Provide details in comments if this line item has an orange background", ""))</f>
        <v/>
      </c>
    </row>
    <row r="11" spans="1:28" ht="15.95" thickBot="1">
      <c r="A11" s="384" t="s">
        <v>146</v>
      </c>
      <c r="B11" s="217">
        <f>'S1. FY25-26 Biannual Actuals'!D11</f>
        <v>0</v>
      </c>
      <c r="C11" s="232"/>
      <c r="D11" s="285"/>
      <c r="E11" s="3"/>
      <c r="F11" s="3"/>
      <c r="G11" s="3"/>
      <c r="H11" s="3"/>
      <c r="I11" s="3"/>
      <c r="J11" s="3"/>
      <c r="K11" s="3"/>
      <c r="L11" s="3"/>
      <c r="M11" s="3"/>
      <c r="N11" s="3"/>
      <c r="O11" s="3"/>
      <c r="P11" s="3"/>
      <c r="Q11" s="3"/>
      <c r="R11" s="3"/>
      <c r="S11" s="3"/>
      <c r="T11" s="3"/>
      <c r="U11" s="3"/>
      <c r="V11" s="3"/>
      <c r="W11" s="215"/>
      <c r="X11" s="215"/>
      <c r="Y11" s="216" t="b">
        <f>Z11=""</f>
        <v>1</v>
      </c>
      <c r="Z11" s="216" t="str">
        <f>IF((B31)&gt;6357,"Please provide details of the inclusions in the comments section","")</f>
        <v/>
      </c>
    </row>
    <row r="12" spans="1:28" ht="15.6">
      <c r="A12" s="514" t="s">
        <v>123</v>
      </c>
      <c r="B12" s="515"/>
      <c r="C12" s="515"/>
      <c r="D12" s="285"/>
      <c r="E12" s="3"/>
      <c r="F12" s="3"/>
      <c r="G12" s="3"/>
      <c r="H12" s="3"/>
      <c r="I12" s="3"/>
      <c r="J12" s="3"/>
      <c r="K12" s="3"/>
      <c r="L12" s="3"/>
      <c r="M12" s="3"/>
      <c r="N12" s="3"/>
      <c r="O12" s="3"/>
      <c r="P12" s="3"/>
      <c r="Q12" s="3"/>
      <c r="R12" s="3"/>
      <c r="S12" s="3"/>
      <c r="T12" s="3"/>
      <c r="U12" s="3"/>
      <c r="V12" s="3"/>
      <c r="W12" s="215"/>
      <c r="X12" s="215"/>
      <c r="Y12" s="216" t="b">
        <f>Z12=""</f>
        <v>1</v>
      </c>
      <c r="Z12" s="216" t="str">
        <f>IFERROR(IF(B32&gt;SUM(B21,)*15%,"Overheads higher than 15%. Provide details in comments if this line item has an orange background",""),"")</f>
        <v/>
      </c>
    </row>
    <row r="13" spans="1:28" ht="15.95" thickBot="1">
      <c r="A13" s="385" t="s">
        <v>91</v>
      </c>
      <c r="B13" s="233">
        <f>'S1. FY25-26 Biannual Actuals'!B13+'S1. FY25-26 Biannual Actuals'!C13</f>
        <v>0</v>
      </c>
      <c r="C13" s="430"/>
      <c r="D13" s="285"/>
      <c r="E13" s="3"/>
      <c r="F13" s="3"/>
      <c r="G13" s="3"/>
      <c r="H13" s="3"/>
      <c r="I13" s="3"/>
      <c r="J13" s="3"/>
      <c r="K13" s="3"/>
      <c r="L13" s="3"/>
      <c r="M13" s="3"/>
      <c r="N13" s="3"/>
      <c r="O13" s="3"/>
      <c r="P13" s="3"/>
      <c r="Q13" s="3"/>
      <c r="R13" s="3"/>
      <c r="S13" s="3"/>
      <c r="T13" s="3"/>
      <c r="U13" s="3"/>
      <c r="V13" s="3"/>
      <c r="W13" s="215"/>
      <c r="X13" s="215"/>
      <c r="Y13" s="216" t="b">
        <f>Z13=""</f>
        <v>1</v>
      </c>
      <c r="Z13" s="216" t="str">
        <f>IF(B20&gt;(B17+B18+B19)*17.5%,"Other employment higher than average. Please provide details","")</f>
        <v/>
      </c>
    </row>
    <row r="14" spans="1:28" ht="15.95" thickBot="1">
      <c r="A14" s="385" t="s">
        <v>93</v>
      </c>
      <c r="B14" s="233">
        <f>'S1. FY25-26 Biannual Actuals'!B14+'S1. FY25-26 Biannual Actuals'!C14</f>
        <v>0</v>
      </c>
      <c r="C14" s="429"/>
      <c r="D14" s="285"/>
      <c r="E14" s="3"/>
      <c r="F14" s="3"/>
      <c r="G14" s="3"/>
      <c r="H14" s="3"/>
      <c r="I14" s="3"/>
      <c r="J14" s="3"/>
      <c r="K14" s="3"/>
      <c r="L14" s="3"/>
      <c r="M14" s="3"/>
      <c r="N14" s="3"/>
      <c r="O14" s="3"/>
      <c r="P14" s="3"/>
      <c r="Q14" s="3"/>
      <c r="R14" s="3"/>
      <c r="S14" s="3"/>
      <c r="T14" s="3"/>
      <c r="U14" s="3"/>
      <c r="V14" s="3"/>
      <c r="W14" s="215"/>
      <c r="X14" s="215"/>
      <c r="Y14" s="216" t="b">
        <f t="shared" ref="Y14:Y23" si="0">Z14=""</f>
        <v>1</v>
      </c>
      <c r="Z14" s="215" t="str">
        <f>IF(B23&gt;12340,"Property Costs higher than avererage. Please provide details in the comments section","")</f>
        <v/>
      </c>
    </row>
    <row r="15" spans="1:28" ht="15.95" thickBot="1">
      <c r="A15" s="162" t="s">
        <v>94</v>
      </c>
      <c r="B15" s="315">
        <f>SUM(B13:B14)</f>
        <v>0</v>
      </c>
      <c r="C15" s="322"/>
      <c r="D15" s="285"/>
      <c r="E15" s="3"/>
      <c r="F15" s="3"/>
      <c r="G15" s="3"/>
      <c r="H15" s="3"/>
      <c r="I15" s="3"/>
      <c r="J15" s="3"/>
      <c r="K15" s="3"/>
      <c r="L15" s="3"/>
      <c r="M15" s="3"/>
      <c r="N15" s="3"/>
      <c r="O15" s="3"/>
      <c r="P15" s="3"/>
      <c r="Q15" s="3"/>
      <c r="R15" s="3"/>
      <c r="S15" s="3"/>
      <c r="T15" s="3"/>
      <c r="U15" s="3"/>
      <c r="V15" s="3"/>
      <c r="W15" s="215"/>
      <c r="X15" s="215"/>
      <c r="Y15" s="216" t="b">
        <f t="shared" si="0"/>
        <v>1</v>
      </c>
      <c r="Z15" s="215" t="str">
        <f>IF(B26&gt;8000,"Office Costs higher than avererage. Please provide details in the comments section","")</f>
        <v/>
      </c>
    </row>
    <row r="16" spans="1:28" s="123" customFormat="1" ht="15.75" customHeight="1">
      <c r="A16" s="514" t="s">
        <v>155</v>
      </c>
      <c r="B16" s="515"/>
      <c r="C16" s="515"/>
      <c r="D16" s="323"/>
      <c r="W16" s="215"/>
      <c r="X16" s="215"/>
      <c r="Y16" s="216" t="b">
        <f t="shared" si="0"/>
        <v>1</v>
      </c>
      <c r="Z16" s="215" t="str">
        <f>IF(B28&gt;7420,"Travel Costs higher than avererage. Please provide details in the comments section","")</f>
        <v/>
      </c>
      <c r="AA16" s="215"/>
      <c r="AB16" s="215"/>
    </row>
    <row r="17" spans="1:28" ht="15.95" thickBot="1">
      <c r="A17" s="385" t="s">
        <v>97</v>
      </c>
      <c r="B17" s="217">
        <f>'S1. FY25-26 Biannual Actuals'!B17+'S1. FY25-26 Biannual Actuals'!C17</f>
        <v>0</v>
      </c>
      <c r="C17" s="433"/>
      <c r="D17" s="285"/>
      <c r="E17" s="3"/>
      <c r="F17" s="3"/>
      <c r="G17" s="3"/>
      <c r="H17" s="3"/>
      <c r="I17" s="3"/>
      <c r="J17" s="3"/>
      <c r="K17" s="3"/>
      <c r="L17" s="3"/>
      <c r="M17" s="3"/>
      <c r="N17" s="3"/>
      <c r="O17" s="3"/>
      <c r="P17" s="3"/>
      <c r="Q17" s="3"/>
      <c r="R17" s="3"/>
      <c r="S17" s="3"/>
      <c r="T17" s="3"/>
      <c r="U17" s="3"/>
      <c r="V17" s="3"/>
      <c r="W17" s="215"/>
      <c r="X17" s="215"/>
      <c r="Y17" s="216" t="b">
        <f t="shared" si="0"/>
        <v>1</v>
      </c>
      <c r="Z17" s="215" t="str">
        <f>IF(AND(B29&lt;2000,B29&gt;1),"Professional development Coordinator lower than avererage. Please provide details in the comments section","")</f>
        <v/>
      </c>
    </row>
    <row r="18" spans="1:28" ht="15.95" thickBot="1">
      <c r="A18" s="385" t="s">
        <v>98</v>
      </c>
      <c r="B18" s="217">
        <f>'S1. FY25-26 Biannual Actuals'!B18+'S1. FY25-26 Biannual Actuals'!C18</f>
        <v>0</v>
      </c>
      <c r="C18" s="433"/>
      <c r="D18" s="285"/>
      <c r="E18" s="3"/>
      <c r="F18" s="3"/>
      <c r="G18" s="3"/>
      <c r="H18" s="3"/>
      <c r="I18" s="3"/>
      <c r="J18" s="3"/>
      <c r="K18" s="3"/>
      <c r="L18" s="3"/>
      <c r="M18" s="3"/>
      <c r="N18" s="3"/>
      <c r="O18" s="3"/>
      <c r="P18" s="3"/>
      <c r="Q18" s="3"/>
      <c r="R18" s="3"/>
      <c r="S18" s="3"/>
      <c r="T18" s="3"/>
      <c r="U18" s="3"/>
      <c r="V18" s="3"/>
      <c r="W18" s="215"/>
      <c r="X18" s="215"/>
      <c r="Y18" s="216" t="b">
        <f t="shared" si="0"/>
        <v>1</v>
      </c>
      <c r="Z18" s="215" t="str">
        <f>IF(B29&gt;2190,"Professional development Coordinator higher than avererage. Please provide details in the comments section","")</f>
        <v/>
      </c>
    </row>
    <row r="19" spans="1:28" ht="15.95" thickBot="1">
      <c r="A19" s="385" t="s">
        <v>99</v>
      </c>
      <c r="B19" s="217">
        <f>'S1. FY25-26 Biannual Actuals'!B19+'S1. FY25-26 Biannual Actuals'!C19</f>
        <v>0</v>
      </c>
      <c r="C19" s="429"/>
      <c r="D19" s="285"/>
      <c r="E19" s="3"/>
      <c r="F19" s="3"/>
      <c r="G19" s="3"/>
      <c r="H19" s="3"/>
      <c r="I19" s="3"/>
      <c r="J19" s="3"/>
      <c r="K19" s="3"/>
      <c r="L19" s="3"/>
      <c r="M19" s="3"/>
      <c r="N19" s="3"/>
      <c r="O19" s="3"/>
      <c r="P19" s="3"/>
      <c r="Q19" s="3"/>
      <c r="R19" s="3"/>
      <c r="S19" s="3"/>
      <c r="T19" s="3"/>
      <c r="U19" s="3"/>
      <c r="V19" s="3"/>
      <c r="W19" s="215"/>
      <c r="X19" s="215"/>
      <c r="Y19" s="216" t="b">
        <f t="shared" si="0"/>
        <v>1</v>
      </c>
      <c r="Z19" s="215" t="str">
        <f>IF(AND(B30&lt;4640,B30&gt;1),"Professional development Tutors lower than avererage. Please provide details in the comments section","")</f>
        <v/>
      </c>
    </row>
    <row r="20" spans="1:28" ht="15.95" thickBot="1">
      <c r="A20" s="385" t="s">
        <v>100</v>
      </c>
      <c r="B20" s="217">
        <f>'S1. FY25-26 Biannual Actuals'!B20+'S1. FY25-26 Biannual Actuals'!C20</f>
        <v>0</v>
      </c>
      <c r="C20" s="433"/>
      <c r="D20" s="285"/>
      <c r="E20" s="3"/>
      <c r="F20" s="3"/>
      <c r="G20" s="3"/>
      <c r="H20" s="3"/>
      <c r="I20" s="3"/>
      <c r="J20" s="3"/>
      <c r="K20" s="3"/>
      <c r="L20" s="3"/>
      <c r="M20" s="3"/>
      <c r="N20" s="3"/>
      <c r="O20" s="3"/>
      <c r="P20" s="3"/>
      <c r="Q20" s="3"/>
      <c r="R20" s="3"/>
      <c r="S20" s="3"/>
      <c r="T20" s="3"/>
      <c r="U20" s="3"/>
      <c r="V20" s="3"/>
      <c r="W20" s="215"/>
      <c r="X20" s="215"/>
      <c r="Y20" s="216" t="b">
        <f t="shared" si="0"/>
        <v>1</v>
      </c>
      <c r="Z20" s="215" t="str">
        <f>IF(B30&gt;13000,"Professional development Tutor higher than avererage. Please provide details in the comments section","")</f>
        <v/>
      </c>
    </row>
    <row r="21" spans="1:28" ht="15.6">
      <c r="A21" s="162" t="s">
        <v>101</v>
      </c>
      <c r="B21" s="315">
        <f>SUM(B17:B20)</f>
        <v>0</v>
      </c>
      <c r="C21" s="324"/>
      <c r="D21" s="285"/>
      <c r="E21" s="3"/>
      <c r="F21" s="3"/>
      <c r="G21" s="3"/>
      <c r="H21" s="3"/>
      <c r="I21" s="3"/>
      <c r="J21" s="3"/>
      <c r="K21" s="3"/>
      <c r="L21" s="3"/>
      <c r="M21" s="3"/>
      <c r="N21" s="3"/>
      <c r="O21" s="3"/>
      <c r="P21" s="3"/>
      <c r="Q21" s="3"/>
      <c r="R21" s="3"/>
      <c r="S21" s="3"/>
      <c r="T21" s="3"/>
      <c r="U21" s="3"/>
      <c r="V21" s="3"/>
      <c r="W21" s="215"/>
      <c r="X21" s="215"/>
      <c r="Y21" s="216" t="b">
        <f t="shared" si="0"/>
        <v>1</v>
      </c>
      <c r="Z21" s="215" t="str">
        <f>IF(B31&gt;6357,"Other - higher than avererage. Please provide details in the comments section","")</f>
        <v/>
      </c>
    </row>
    <row r="22" spans="1:28" s="123" customFormat="1" ht="16.5" customHeight="1">
      <c r="A22" s="522" t="s">
        <v>156</v>
      </c>
      <c r="B22" s="522"/>
      <c r="C22" s="522"/>
      <c r="D22" s="323"/>
      <c r="W22" s="215"/>
      <c r="X22" s="215"/>
      <c r="Y22" s="216" t="b">
        <f t="shared" si="0"/>
        <v>1</v>
      </c>
      <c r="Z22" s="215" t="str">
        <f>IF(B25&gt;3647,"Meeting and Gatherings higher than average, please provide details in the comments section","")</f>
        <v/>
      </c>
      <c r="AA22" s="215"/>
      <c r="AB22" s="215"/>
    </row>
    <row r="23" spans="1:28" ht="15.95" thickBot="1">
      <c r="A23" s="385" t="s">
        <v>103</v>
      </c>
      <c r="B23" s="217">
        <f>'S1. FY25-26 Biannual Actuals'!B23+'S1. FY25-26 Biannual Actuals'!C23</f>
        <v>0</v>
      </c>
      <c r="C23" s="425"/>
      <c r="D23" s="285"/>
      <c r="E23" s="3"/>
      <c r="F23" s="3"/>
      <c r="G23" s="3"/>
      <c r="H23" s="3"/>
      <c r="I23" s="3"/>
      <c r="J23" s="3"/>
      <c r="K23" s="3"/>
      <c r="L23" s="3"/>
      <c r="M23" s="3"/>
      <c r="N23" s="3"/>
      <c r="O23" s="3"/>
      <c r="P23" s="3"/>
      <c r="Q23" s="3"/>
      <c r="R23" s="3"/>
      <c r="S23" s="3"/>
      <c r="T23" s="3"/>
      <c r="U23" s="3"/>
      <c r="V23" s="3"/>
      <c r="W23" s="215"/>
      <c r="X23" s="215"/>
      <c r="Y23" s="216" t="b">
        <f t="shared" si="0"/>
        <v>1</v>
      </c>
      <c r="Z23" s="215" t="str">
        <f>IF(B24&gt;7129,"Materials and Resources higher than average, please provide details in the comments section","")</f>
        <v/>
      </c>
    </row>
    <row r="24" spans="1:28" ht="15.95" thickBot="1">
      <c r="A24" s="385" t="s">
        <v>104</v>
      </c>
      <c r="B24" s="234">
        <f>'S1. FY25-26 Biannual Actuals'!B24+'S1. FY25-26 Biannual Actuals'!C24</f>
        <v>0</v>
      </c>
      <c r="C24" s="426"/>
      <c r="D24" s="285"/>
      <c r="E24" s="3"/>
      <c r="F24" s="3"/>
      <c r="G24" s="3"/>
      <c r="H24" s="3"/>
      <c r="I24" s="3"/>
      <c r="J24" s="3"/>
      <c r="K24" s="3"/>
      <c r="L24" s="3"/>
      <c r="M24" s="3"/>
      <c r="N24" s="3"/>
      <c r="O24" s="3"/>
      <c r="P24" s="3"/>
      <c r="Q24" s="3"/>
      <c r="R24" s="3"/>
      <c r="S24" s="3"/>
      <c r="T24" s="3"/>
      <c r="U24" s="3"/>
      <c r="V24" s="3"/>
      <c r="W24" s="215"/>
      <c r="X24" s="215"/>
      <c r="Y24" s="215"/>
    </row>
    <row r="25" spans="1:28" ht="15.95" thickBot="1">
      <c r="A25" s="385" t="s">
        <v>105</v>
      </c>
      <c r="B25" s="234">
        <f>'S1. FY25-26 Biannual Actuals'!B25+'S1. FY25-26 Biannual Actuals'!C25</f>
        <v>0</v>
      </c>
      <c r="C25" s="426"/>
      <c r="D25" s="285"/>
      <c r="E25" s="3"/>
      <c r="F25" s="3"/>
      <c r="G25" s="3"/>
      <c r="H25" s="3"/>
      <c r="I25" s="3"/>
      <c r="J25" s="3"/>
      <c r="K25" s="3"/>
      <c r="L25" s="3"/>
      <c r="M25" s="3"/>
      <c r="N25" s="3"/>
      <c r="O25" s="3"/>
      <c r="P25" s="3"/>
      <c r="Q25" s="3"/>
      <c r="R25" s="3"/>
      <c r="S25" s="3"/>
      <c r="T25" s="3"/>
      <c r="U25" s="3"/>
      <c r="V25" s="3"/>
      <c r="W25" s="215"/>
      <c r="X25" s="215"/>
      <c r="Y25" s="215"/>
    </row>
    <row r="26" spans="1:28" ht="15.95" thickBot="1">
      <c r="A26" s="385" t="s">
        <v>106</v>
      </c>
      <c r="B26" s="217">
        <f>'S1. FY25-26 Biannual Actuals'!B26+'S1. FY25-26 Biannual Actuals'!C26</f>
        <v>0</v>
      </c>
      <c r="C26" s="426"/>
      <c r="D26" s="285"/>
      <c r="E26" s="3"/>
      <c r="F26" s="3"/>
      <c r="G26" s="3"/>
      <c r="H26" s="3"/>
      <c r="I26" s="3"/>
      <c r="J26" s="3"/>
      <c r="K26" s="3"/>
      <c r="L26" s="3"/>
      <c r="M26" s="3"/>
      <c r="N26" s="3"/>
      <c r="O26" s="3"/>
      <c r="P26" s="3"/>
      <c r="Q26" s="3"/>
      <c r="R26" s="3"/>
      <c r="S26" s="3"/>
      <c r="T26" s="3"/>
      <c r="U26" s="3"/>
      <c r="V26" s="3"/>
      <c r="W26" s="215"/>
      <c r="X26" s="215"/>
      <c r="Y26" s="374"/>
    </row>
    <row r="27" spans="1:28" ht="15.95" thickBot="1">
      <c r="A27" s="385" t="s">
        <v>107</v>
      </c>
      <c r="B27" s="217">
        <f>'S1. FY25-26 Biannual Actuals'!B27+'S1. FY25-26 Biannual Actuals'!C27</f>
        <v>0</v>
      </c>
      <c r="C27" s="426"/>
      <c r="D27" s="285"/>
      <c r="E27" s="3"/>
      <c r="F27" s="3"/>
      <c r="G27" s="3"/>
      <c r="H27" s="3"/>
      <c r="I27" s="3"/>
      <c r="J27" s="3"/>
      <c r="K27" s="3"/>
      <c r="L27" s="3"/>
      <c r="M27" s="3"/>
      <c r="N27" s="3"/>
      <c r="O27" s="3"/>
      <c r="P27" s="3"/>
      <c r="Q27" s="3"/>
      <c r="R27" s="3"/>
      <c r="S27" s="3"/>
      <c r="T27" s="3"/>
      <c r="U27" s="3"/>
      <c r="V27" s="3"/>
      <c r="W27" s="215"/>
      <c r="X27" s="215"/>
      <c r="Y27" s="215"/>
    </row>
    <row r="28" spans="1:28" ht="15.95" thickBot="1">
      <c r="A28" s="385" t="s">
        <v>108</v>
      </c>
      <c r="B28" s="217">
        <f>'S1. FY25-26 Biannual Actuals'!B28+'S1. FY25-26 Biannual Actuals'!C28</f>
        <v>0</v>
      </c>
      <c r="C28" s="427"/>
      <c r="D28" s="285"/>
      <c r="E28" s="3"/>
      <c r="F28" s="3"/>
      <c r="G28" s="3"/>
      <c r="H28" s="3"/>
      <c r="I28" s="3"/>
      <c r="J28" s="3"/>
      <c r="K28" s="3"/>
      <c r="L28" s="3"/>
      <c r="M28" s="3"/>
      <c r="N28" s="3"/>
      <c r="O28" s="3"/>
      <c r="P28" s="3"/>
      <c r="Q28" s="3"/>
      <c r="R28" s="3"/>
      <c r="S28" s="3"/>
      <c r="T28" s="3"/>
      <c r="U28" s="3"/>
      <c r="V28" s="3"/>
      <c r="W28" s="215"/>
      <c r="X28" s="215"/>
      <c r="Y28" s="215"/>
    </row>
    <row r="29" spans="1:28" ht="15.95" thickBot="1">
      <c r="A29" s="385" t="s">
        <v>109</v>
      </c>
      <c r="B29" s="217">
        <f>'S1. FY25-26 Biannual Actuals'!B29+'S1. FY25-26 Biannual Actuals'!C29</f>
        <v>0</v>
      </c>
      <c r="C29" s="433"/>
      <c r="D29" s="285"/>
      <c r="E29" s="3"/>
      <c r="F29" s="3"/>
      <c r="G29" s="3"/>
      <c r="H29" s="3"/>
      <c r="I29" s="3"/>
      <c r="J29" s="3"/>
      <c r="K29" s="3"/>
      <c r="L29" s="3"/>
      <c r="M29" s="3"/>
      <c r="N29" s="3"/>
      <c r="O29" s="3"/>
      <c r="P29" s="3"/>
      <c r="Q29" s="3"/>
      <c r="R29" s="3"/>
      <c r="S29" s="3"/>
      <c r="T29" s="3"/>
      <c r="U29" s="3"/>
      <c r="V29" s="3"/>
      <c r="W29" s="215"/>
      <c r="X29" s="215"/>
      <c r="Y29" s="215"/>
    </row>
    <row r="30" spans="1:28" ht="15.95" thickBot="1">
      <c r="A30" s="385" t="s">
        <v>110</v>
      </c>
      <c r="B30" s="217">
        <f>'S1. FY25-26 Biannual Actuals'!B30+'S1. FY25-26 Biannual Actuals'!C30</f>
        <v>0</v>
      </c>
      <c r="C30" s="433"/>
      <c r="D30" s="285"/>
      <c r="E30" s="3"/>
      <c r="F30" s="3"/>
      <c r="G30" s="3"/>
      <c r="H30" s="3"/>
      <c r="I30" s="3"/>
      <c r="J30" s="3"/>
      <c r="K30" s="3"/>
      <c r="L30" s="3"/>
      <c r="M30" s="3"/>
      <c r="N30" s="3"/>
      <c r="O30" s="3"/>
      <c r="P30" s="3"/>
      <c r="Q30" s="3"/>
      <c r="R30" s="3"/>
      <c r="S30" s="3"/>
      <c r="T30" s="3"/>
      <c r="U30" s="3"/>
      <c r="V30" s="3"/>
      <c r="W30" s="215"/>
      <c r="X30" s="215"/>
      <c r="Y30" s="215"/>
    </row>
    <row r="31" spans="1:28" ht="15.95" thickBot="1">
      <c r="A31" s="385" t="s">
        <v>111</v>
      </c>
      <c r="B31" s="217">
        <f>'S1. FY25-26 Biannual Actuals'!B31+'S1. FY25-26 Biannual Actuals'!C31</f>
        <v>0</v>
      </c>
      <c r="C31" s="427"/>
      <c r="D31" s="285"/>
      <c r="E31" s="3"/>
      <c r="F31" s="3"/>
      <c r="G31" s="3"/>
      <c r="H31" s="3"/>
      <c r="I31" s="3"/>
      <c r="J31" s="3"/>
      <c r="K31" s="3"/>
      <c r="L31" s="3"/>
      <c r="M31" s="3"/>
      <c r="N31" s="3"/>
      <c r="O31" s="3"/>
      <c r="P31" s="3"/>
      <c r="Q31" s="3"/>
      <c r="R31" s="3"/>
      <c r="S31" s="3"/>
      <c r="T31" s="3"/>
      <c r="U31" s="3"/>
      <c r="V31" s="3"/>
      <c r="W31" s="215"/>
      <c r="X31" s="215"/>
      <c r="Y31" s="215"/>
    </row>
    <row r="32" spans="1:28" ht="15.95" thickBot="1">
      <c r="A32" s="385" t="s">
        <v>112</v>
      </c>
      <c r="B32" s="217">
        <f>'S1. FY25-26 Biannual Actuals'!B32+'S1. FY25-26 Biannual Actuals'!C32</f>
        <v>0</v>
      </c>
      <c r="C32" s="434"/>
      <c r="D32" s="296"/>
      <c r="E32" s="160"/>
      <c r="F32" s="160"/>
      <c r="G32" s="160"/>
      <c r="H32" s="160"/>
      <c r="I32" s="160"/>
      <c r="J32" s="160"/>
      <c r="K32" s="160"/>
      <c r="L32" s="160"/>
      <c r="M32" s="160"/>
      <c r="N32" s="160"/>
      <c r="O32" s="160"/>
      <c r="P32" s="160"/>
      <c r="Q32" s="160"/>
      <c r="R32" s="160"/>
      <c r="S32" s="160"/>
      <c r="T32" s="160"/>
      <c r="U32" s="160"/>
      <c r="V32" s="160"/>
      <c r="W32" s="375"/>
      <c r="X32" s="375"/>
      <c r="Y32" s="376"/>
      <c r="Z32" s="377"/>
    </row>
    <row r="33" spans="1:26" ht="15.95" thickBot="1">
      <c r="A33" s="168" t="s">
        <v>113</v>
      </c>
      <c r="B33" s="315">
        <f>SUM(B23:B32)</f>
        <v>0</v>
      </c>
      <c r="C33" s="325"/>
      <c r="D33" s="285"/>
      <c r="E33" s="3"/>
      <c r="F33" s="3"/>
      <c r="G33" s="3"/>
      <c r="H33" s="3"/>
      <c r="I33" s="3"/>
      <c r="J33" s="3"/>
      <c r="K33" s="3"/>
      <c r="L33" s="3"/>
      <c r="M33" s="3"/>
      <c r="N33" s="3"/>
      <c r="O33" s="3"/>
      <c r="P33" s="3"/>
      <c r="Q33" s="3"/>
      <c r="R33" s="3"/>
      <c r="S33" s="3"/>
      <c r="T33" s="3"/>
      <c r="U33" s="3"/>
      <c r="V33" s="3"/>
      <c r="W33" s="215"/>
      <c r="X33" s="215"/>
      <c r="Y33" s="378"/>
      <c r="Z33" s="378"/>
    </row>
    <row r="34" spans="1:26" ht="15.95" thickBot="1">
      <c r="A34" s="168" t="s">
        <v>114</v>
      </c>
      <c r="B34" s="315">
        <f>SUM(B33+B21)</f>
        <v>0</v>
      </c>
      <c r="C34" s="325"/>
      <c r="D34" s="285"/>
      <c r="E34" s="3"/>
      <c r="F34" s="3"/>
      <c r="G34" s="3"/>
      <c r="H34" s="3"/>
      <c r="I34" s="3"/>
      <c r="J34" s="3"/>
      <c r="K34" s="3"/>
      <c r="L34" s="3"/>
      <c r="M34" s="3"/>
      <c r="N34" s="3"/>
      <c r="O34" s="3"/>
      <c r="P34" s="3"/>
      <c r="Q34" s="3"/>
      <c r="R34" s="3"/>
      <c r="S34" s="3"/>
      <c r="T34" s="3"/>
      <c r="U34" s="3"/>
      <c r="V34" s="3"/>
      <c r="W34" s="215"/>
      <c r="X34" s="215"/>
      <c r="Y34" s="379"/>
      <c r="Z34" s="379"/>
    </row>
    <row r="35" spans="1:26" ht="15.6">
      <c r="A35" s="418" t="s">
        <v>157</v>
      </c>
      <c r="B35" s="315">
        <f>B11+B15-B34</f>
        <v>0</v>
      </c>
      <c r="C35" s="419"/>
      <c r="D35" s="285"/>
      <c r="E35" s="3"/>
      <c r="F35" s="3"/>
      <c r="G35" s="3"/>
      <c r="H35" s="3"/>
      <c r="I35" s="3"/>
      <c r="J35" s="3"/>
      <c r="K35" s="3"/>
      <c r="L35" s="3"/>
      <c r="M35" s="3"/>
      <c r="N35" s="3"/>
      <c r="O35" s="3"/>
      <c r="P35" s="3"/>
      <c r="Q35" s="3"/>
      <c r="R35" s="3"/>
      <c r="S35" s="3"/>
      <c r="T35" s="3"/>
      <c r="U35" s="3"/>
      <c r="V35" s="3"/>
      <c r="W35" s="215"/>
      <c r="X35" s="215"/>
      <c r="Y35" s="380"/>
      <c r="Z35" s="380"/>
    </row>
    <row r="36" spans="1:26" ht="15.95" thickBot="1">
      <c r="A36" s="415"/>
      <c r="B36" s="416"/>
      <c r="C36" s="417"/>
      <c r="D36" s="285"/>
      <c r="E36" s="3"/>
      <c r="F36" s="3"/>
      <c r="G36" s="3"/>
      <c r="H36" s="3"/>
      <c r="I36" s="3"/>
      <c r="J36" s="3"/>
      <c r="K36" s="3"/>
      <c r="L36" s="3"/>
      <c r="M36" s="3"/>
      <c r="N36" s="3"/>
      <c r="O36" s="3"/>
      <c r="P36" s="3"/>
      <c r="Q36" s="3"/>
      <c r="R36" s="3"/>
      <c r="S36" s="3"/>
      <c r="T36" s="3"/>
      <c r="U36" s="3"/>
      <c r="V36" s="3"/>
      <c r="W36" s="215"/>
      <c r="X36" s="215"/>
      <c r="Y36" s="380"/>
      <c r="Z36" s="380"/>
    </row>
    <row r="37" spans="1:26" ht="15.95" thickBot="1">
      <c r="A37" s="405" t="s">
        <v>147</v>
      </c>
      <c r="B37" s="405"/>
      <c r="C37" s="420" t="s">
        <v>145</v>
      </c>
      <c r="D37" s="285"/>
      <c r="E37" s="3"/>
      <c r="F37" s="3"/>
      <c r="G37" s="3"/>
      <c r="H37" s="3"/>
      <c r="I37" s="3"/>
      <c r="J37" s="3"/>
      <c r="K37" s="3"/>
      <c r="L37" s="3"/>
      <c r="M37" s="3"/>
      <c r="N37" s="3"/>
      <c r="O37" s="3"/>
      <c r="P37" s="3"/>
      <c r="Q37" s="3"/>
      <c r="R37" s="3"/>
      <c r="S37" s="3"/>
      <c r="T37" s="3"/>
      <c r="U37" s="3"/>
      <c r="V37" s="3"/>
      <c r="W37" s="215"/>
      <c r="X37" s="215"/>
      <c r="Y37" s="380"/>
      <c r="Z37" s="380"/>
    </row>
    <row r="38" spans="1:26" ht="15.95" thickBot="1">
      <c r="A38" s="437" t="s">
        <v>148</v>
      </c>
      <c r="B38" s="402"/>
      <c r="C38" s="431"/>
      <c r="D38" s="285"/>
      <c r="E38" s="3"/>
      <c r="F38" s="3"/>
      <c r="G38" s="3"/>
      <c r="H38" s="3"/>
      <c r="I38" s="3"/>
      <c r="J38" s="3"/>
      <c r="K38" s="3"/>
      <c r="L38" s="3"/>
      <c r="M38" s="3"/>
      <c r="N38" s="3"/>
      <c r="O38" s="3"/>
      <c r="P38" s="3"/>
      <c r="Q38" s="3"/>
      <c r="R38" s="3"/>
      <c r="S38" s="3"/>
      <c r="T38" s="3"/>
      <c r="U38" s="3"/>
      <c r="V38" s="3"/>
      <c r="W38" s="215"/>
      <c r="X38" s="215"/>
      <c r="Y38" s="380"/>
      <c r="Z38" s="380"/>
    </row>
    <row r="39" spans="1:26" ht="15.95" thickBot="1">
      <c r="A39" s="437" t="s">
        <v>149</v>
      </c>
      <c r="B39" s="421">
        <v>0</v>
      </c>
      <c r="C39" s="432"/>
      <c r="D39" s="285"/>
      <c r="E39" s="3"/>
      <c r="F39" s="3"/>
      <c r="G39" s="3"/>
      <c r="H39" s="3"/>
      <c r="I39" s="3"/>
      <c r="J39" s="3"/>
      <c r="K39" s="3"/>
      <c r="L39" s="3"/>
      <c r="M39" s="3"/>
      <c r="N39" s="3"/>
      <c r="O39" s="3"/>
      <c r="P39" s="3"/>
      <c r="Q39" s="3"/>
      <c r="R39" s="3"/>
      <c r="S39" s="3"/>
      <c r="T39" s="3"/>
      <c r="U39" s="3"/>
      <c r="V39" s="3"/>
      <c r="W39" s="215"/>
      <c r="X39" s="215"/>
      <c r="Y39" s="380"/>
      <c r="Z39" s="380"/>
    </row>
    <row r="40" spans="1:26" ht="15.6">
      <c r="A40" s="326"/>
      <c r="B40" s="327"/>
      <c r="C40" s="328"/>
      <c r="D40" s="285"/>
      <c r="E40" s="3"/>
      <c r="F40" s="3"/>
      <c r="G40" s="3"/>
      <c r="H40" s="3"/>
      <c r="I40" s="3"/>
      <c r="J40" s="3"/>
      <c r="K40" s="3"/>
      <c r="L40" s="3"/>
      <c r="M40" s="3"/>
      <c r="N40" s="3"/>
      <c r="O40" s="3"/>
      <c r="P40" s="3"/>
      <c r="Q40" s="3"/>
      <c r="R40" s="3"/>
      <c r="S40" s="3"/>
      <c r="T40" s="3"/>
      <c r="U40" s="3"/>
      <c r="V40" s="3"/>
      <c r="W40" s="215"/>
      <c r="X40" s="215"/>
      <c r="Y40" s="381"/>
    </row>
    <row r="41" spans="1:26" ht="15.75" customHeight="1">
      <c r="A41" s="446" t="s">
        <v>116</v>
      </c>
      <c r="B41" s="447"/>
      <c r="C41" s="447"/>
      <c r="D41" s="329"/>
      <c r="E41" s="152"/>
      <c r="F41" s="152"/>
      <c r="G41" s="152"/>
      <c r="H41" s="152"/>
      <c r="I41" s="152"/>
      <c r="J41" s="152"/>
      <c r="K41" s="152"/>
      <c r="L41" s="152"/>
      <c r="M41" s="152"/>
      <c r="N41" s="152"/>
      <c r="O41" s="152"/>
      <c r="P41" s="152"/>
      <c r="Q41" s="152"/>
      <c r="R41" s="152"/>
      <c r="S41" s="152"/>
      <c r="T41" s="152"/>
      <c r="U41" s="152"/>
      <c r="V41" s="152"/>
      <c r="W41" s="374"/>
      <c r="X41" s="374"/>
      <c r="Y41" s="382"/>
      <c r="Z41" s="216"/>
    </row>
    <row r="42" spans="1:26" ht="15.6">
      <c r="A42" s="386" t="str" cm="1">
        <f t="array" ref="A42">_xlfn._xlws.FILTER(Z9:Z23,Y9:Y23=FALSE,"")</f>
        <v/>
      </c>
      <c r="B42" s="387"/>
      <c r="C42" s="388"/>
      <c r="D42" s="285"/>
      <c r="E42" s="3"/>
      <c r="F42" s="3"/>
      <c r="G42" s="3"/>
      <c r="H42" s="3"/>
      <c r="I42" s="3"/>
      <c r="J42" s="3"/>
      <c r="K42" s="3"/>
      <c r="L42" s="3"/>
      <c r="M42" s="3"/>
      <c r="N42" s="3"/>
      <c r="O42" s="3"/>
      <c r="P42" s="3"/>
      <c r="Q42" s="3"/>
      <c r="R42" s="3"/>
      <c r="S42" s="3"/>
      <c r="T42" s="3"/>
      <c r="U42" s="3"/>
      <c r="V42" s="3"/>
      <c r="W42" s="215"/>
      <c r="X42" s="215"/>
      <c r="Y42" s="381"/>
    </row>
    <row r="43" spans="1:26" ht="15.6">
      <c r="A43" s="389"/>
      <c r="B43" s="390"/>
      <c r="C43" s="391"/>
      <c r="D43" s="285"/>
      <c r="E43" s="3"/>
      <c r="F43" s="3"/>
      <c r="G43" s="3"/>
      <c r="H43" s="3"/>
      <c r="I43" s="3"/>
      <c r="J43" s="3"/>
      <c r="K43" s="3"/>
      <c r="L43" s="3"/>
      <c r="M43" s="3"/>
      <c r="N43" s="3"/>
      <c r="O43" s="3"/>
      <c r="P43" s="3"/>
      <c r="Q43" s="3"/>
      <c r="R43" s="3"/>
      <c r="S43" s="3"/>
      <c r="T43" s="3"/>
      <c r="U43" s="3"/>
      <c r="V43" s="3"/>
      <c r="W43" s="215"/>
      <c r="X43" s="215"/>
      <c r="Y43" s="381"/>
    </row>
    <row r="44" spans="1:26" ht="15.6">
      <c r="A44" s="389"/>
      <c r="B44" s="390"/>
      <c r="C44" s="391"/>
      <c r="D44" s="285"/>
      <c r="E44" s="3"/>
      <c r="F44" s="3"/>
      <c r="G44" s="3"/>
      <c r="H44" s="3"/>
      <c r="I44" s="3"/>
      <c r="J44" s="3"/>
      <c r="K44" s="3"/>
      <c r="L44" s="3"/>
      <c r="M44" s="3"/>
      <c r="N44" s="3"/>
      <c r="O44" s="3"/>
      <c r="P44" s="3"/>
      <c r="Q44" s="3"/>
      <c r="R44" s="3"/>
      <c r="S44" s="3"/>
      <c r="T44" s="3"/>
      <c r="U44" s="3"/>
      <c r="V44" s="3"/>
      <c r="W44" s="215"/>
      <c r="X44" s="215"/>
      <c r="Y44" s="381"/>
    </row>
    <row r="45" spans="1:26" ht="15.6">
      <c r="A45" s="389"/>
      <c r="B45" s="390"/>
      <c r="C45" s="391"/>
      <c r="D45" s="285"/>
      <c r="E45" s="3"/>
      <c r="F45" s="3"/>
      <c r="G45" s="3"/>
      <c r="H45" s="3"/>
      <c r="I45" s="3"/>
      <c r="J45" s="3"/>
      <c r="K45" s="3"/>
      <c r="L45" s="3"/>
      <c r="M45" s="3"/>
      <c r="N45" s="3"/>
      <c r="O45" s="3"/>
      <c r="P45" s="3"/>
      <c r="Q45" s="3"/>
      <c r="R45" s="3"/>
      <c r="S45" s="3"/>
      <c r="T45" s="3"/>
      <c r="U45" s="3"/>
      <c r="V45" s="3"/>
      <c r="W45" s="215"/>
      <c r="X45" s="215"/>
      <c r="Y45" s="381"/>
    </row>
    <row r="46" spans="1:26" ht="15.6">
      <c r="A46" s="389"/>
      <c r="B46" s="390"/>
      <c r="C46" s="391"/>
      <c r="D46" s="285"/>
      <c r="E46" s="3"/>
      <c r="F46" s="3"/>
      <c r="G46" s="3"/>
      <c r="H46" s="3"/>
      <c r="I46" s="3"/>
      <c r="J46" s="3"/>
      <c r="K46" s="3"/>
      <c r="L46" s="3"/>
      <c r="M46" s="3"/>
      <c r="N46" s="3"/>
      <c r="O46" s="3"/>
      <c r="P46" s="3"/>
      <c r="Q46" s="3"/>
      <c r="R46" s="3"/>
      <c r="S46" s="3"/>
      <c r="T46" s="3"/>
      <c r="U46" s="3"/>
      <c r="V46" s="3"/>
      <c r="W46" s="215"/>
      <c r="X46" s="215"/>
      <c r="Y46" s="381"/>
    </row>
    <row r="47" spans="1:26" ht="15.6">
      <c r="A47" s="389"/>
      <c r="B47" s="390"/>
      <c r="C47" s="391"/>
      <c r="D47" s="285"/>
      <c r="E47" s="3"/>
      <c r="F47" s="3"/>
      <c r="G47" s="3"/>
      <c r="H47" s="3"/>
      <c r="I47" s="3"/>
      <c r="J47" s="3"/>
      <c r="K47" s="3"/>
      <c r="L47" s="3"/>
      <c r="M47" s="3"/>
      <c r="N47" s="3"/>
      <c r="O47" s="3"/>
      <c r="P47" s="3"/>
      <c r="Q47" s="3"/>
      <c r="R47" s="3"/>
      <c r="S47" s="3"/>
      <c r="T47" s="3"/>
      <c r="U47" s="3"/>
      <c r="V47" s="3"/>
      <c r="W47" s="215"/>
      <c r="X47" s="215"/>
      <c r="Y47" s="381"/>
    </row>
    <row r="48" spans="1:26" ht="15.6">
      <c r="A48" s="389"/>
      <c r="B48" s="390"/>
      <c r="C48" s="391"/>
      <c r="D48" s="285"/>
      <c r="E48" s="3"/>
      <c r="F48" s="3"/>
      <c r="G48" s="3"/>
      <c r="H48" s="3"/>
      <c r="I48" s="3"/>
      <c r="J48" s="3"/>
      <c r="K48" s="3"/>
      <c r="L48" s="3"/>
      <c r="M48" s="3"/>
      <c r="N48" s="3"/>
      <c r="O48" s="3"/>
      <c r="P48" s="3"/>
      <c r="Q48" s="3"/>
      <c r="R48" s="3"/>
      <c r="S48" s="3"/>
      <c r="T48" s="3"/>
      <c r="U48" s="3"/>
      <c r="V48" s="3"/>
      <c r="W48" s="215"/>
      <c r="X48" s="215"/>
      <c r="Y48" s="381"/>
    </row>
    <row r="49" spans="1:36" ht="15.6">
      <c r="A49" s="389"/>
      <c r="B49" s="390"/>
      <c r="C49" s="391"/>
      <c r="D49" s="285"/>
      <c r="E49" s="3"/>
      <c r="F49" s="3"/>
      <c r="G49" s="3"/>
      <c r="H49" s="3"/>
      <c r="I49" s="3"/>
      <c r="J49" s="3"/>
      <c r="K49" s="3"/>
      <c r="L49" s="3"/>
      <c r="M49" s="3"/>
      <c r="N49" s="3"/>
      <c r="O49" s="3"/>
      <c r="P49" s="3"/>
      <c r="Q49" s="3"/>
      <c r="R49" s="3"/>
      <c r="S49" s="3"/>
      <c r="T49" s="3"/>
      <c r="U49" s="3"/>
      <c r="V49" s="3"/>
      <c r="W49" s="215"/>
      <c r="X49" s="215"/>
      <c r="Y49" s="381"/>
    </row>
    <row r="50" spans="1:36" ht="15.6">
      <c r="A50" s="389"/>
      <c r="B50" s="390"/>
      <c r="C50" s="391"/>
      <c r="D50" s="285"/>
      <c r="E50" s="3"/>
      <c r="F50" s="3"/>
      <c r="G50" s="3"/>
      <c r="H50" s="3"/>
      <c r="I50" s="3"/>
      <c r="J50" s="3"/>
      <c r="K50" s="3"/>
      <c r="L50" s="3"/>
      <c r="M50" s="3"/>
      <c r="N50" s="3"/>
      <c r="O50" s="3"/>
      <c r="P50" s="3"/>
      <c r="Q50" s="3"/>
      <c r="R50" s="3"/>
      <c r="S50" s="3"/>
      <c r="T50" s="3"/>
      <c r="U50" s="3"/>
      <c r="V50" s="3"/>
      <c r="W50" s="215"/>
      <c r="X50" s="215"/>
      <c r="Y50" s="381"/>
    </row>
    <row r="51" spans="1:36" ht="15.6">
      <c r="A51" s="389"/>
      <c r="B51" s="390"/>
      <c r="C51" s="391"/>
      <c r="D51" s="285"/>
      <c r="E51" s="3"/>
      <c r="F51" s="3"/>
      <c r="G51" s="3"/>
      <c r="H51" s="3"/>
      <c r="I51" s="3"/>
      <c r="J51" s="3"/>
      <c r="K51" s="3"/>
      <c r="L51" s="3"/>
      <c r="M51" s="3"/>
      <c r="N51" s="3"/>
      <c r="O51" s="3"/>
      <c r="P51" s="3"/>
      <c r="Q51" s="3"/>
      <c r="R51" s="3"/>
      <c r="S51" s="3"/>
      <c r="T51" s="3"/>
      <c r="U51" s="3"/>
      <c r="V51" s="3"/>
      <c r="W51" s="215"/>
      <c r="X51" s="215"/>
      <c r="Y51" s="381"/>
    </row>
    <row r="52" spans="1:36" ht="15.6">
      <c r="A52" s="389"/>
      <c r="B52" s="390"/>
      <c r="C52" s="391"/>
      <c r="D52" s="285"/>
      <c r="E52" s="3"/>
      <c r="F52" s="3"/>
      <c r="G52" s="3"/>
      <c r="H52" s="3"/>
      <c r="I52" s="3"/>
      <c r="J52" s="3"/>
      <c r="K52" s="3"/>
      <c r="L52" s="3"/>
      <c r="M52" s="3"/>
      <c r="N52" s="3"/>
      <c r="O52" s="3"/>
      <c r="P52" s="3"/>
      <c r="Q52" s="3"/>
      <c r="R52" s="3"/>
      <c r="S52" s="3"/>
      <c r="T52" s="3"/>
      <c r="U52" s="3"/>
      <c r="V52" s="3"/>
      <c r="W52" s="215"/>
      <c r="X52" s="215"/>
      <c r="Y52" s="381"/>
    </row>
    <row r="53" spans="1:36" ht="15.6">
      <c r="A53" s="392"/>
      <c r="B53" s="393"/>
      <c r="C53" s="394"/>
      <c r="D53" s="285"/>
      <c r="E53" s="3"/>
      <c r="F53" s="3"/>
      <c r="G53" s="3"/>
      <c r="H53" s="3"/>
      <c r="I53" s="3"/>
      <c r="J53" s="3"/>
      <c r="K53" s="3"/>
      <c r="L53" s="3"/>
      <c r="M53" s="3"/>
      <c r="N53" s="3"/>
      <c r="O53" s="3"/>
      <c r="P53" s="3"/>
      <c r="Q53" s="3"/>
      <c r="R53" s="3"/>
      <c r="S53" s="3"/>
      <c r="T53" s="3"/>
      <c r="U53" s="3"/>
      <c r="V53" s="3"/>
      <c r="W53" s="215"/>
      <c r="X53" s="215"/>
      <c r="Y53" s="381"/>
    </row>
    <row r="54" spans="1:36" ht="15.6">
      <c r="A54" s="330"/>
      <c r="B54" s="331"/>
      <c r="C54" s="331"/>
      <c r="D54" s="331"/>
      <c r="E54" s="128"/>
      <c r="F54" s="128"/>
      <c r="G54" s="128"/>
      <c r="H54" s="128"/>
      <c r="I54" s="128"/>
      <c r="J54" s="128"/>
      <c r="K54" s="128"/>
      <c r="L54" s="128"/>
      <c r="M54" s="128"/>
      <c r="N54" s="128"/>
      <c r="O54" s="128"/>
      <c r="P54" s="128"/>
      <c r="Q54" s="128"/>
      <c r="R54" s="128"/>
      <c r="S54" s="128"/>
      <c r="T54" s="128"/>
      <c r="U54" s="128"/>
      <c r="V54" s="128"/>
      <c r="W54" s="383"/>
      <c r="X54" s="383"/>
    </row>
    <row r="55" spans="1:36" ht="201.75" customHeight="1">
      <c r="A55" s="536" t="s">
        <v>158</v>
      </c>
      <c r="B55" s="536"/>
      <c r="C55" s="536"/>
      <c r="D55" s="440"/>
      <c r="E55" s="188"/>
      <c r="F55" s="188"/>
      <c r="G55" s="188"/>
      <c r="H55" s="188"/>
      <c r="I55" s="188"/>
      <c r="J55" s="188"/>
      <c r="K55" s="188"/>
      <c r="L55" s="188"/>
      <c r="M55" s="188"/>
      <c r="N55" s="188"/>
      <c r="O55" s="188"/>
      <c r="P55" s="188"/>
      <c r="Q55" s="188"/>
      <c r="R55" s="188"/>
      <c r="S55" s="188"/>
      <c r="T55" s="188"/>
      <c r="U55" s="188"/>
      <c r="V55" s="188"/>
      <c r="W55" s="378"/>
      <c r="X55" s="378"/>
      <c r="Y55" s="215"/>
      <c r="AC55" s="33"/>
      <c r="AD55" s="33"/>
      <c r="AE55" s="33"/>
      <c r="AF55" s="33"/>
      <c r="AG55" s="33"/>
      <c r="AH55" s="33"/>
      <c r="AI55" s="33"/>
      <c r="AJ55" s="33"/>
    </row>
    <row r="56" spans="1:36">
      <c r="A56" s="308"/>
      <c r="B56" s="308"/>
      <c r="C56" s="308"/>
      <c r="D56" s="308"/>
      <c r="E56" s="33"/>
      <c r="F56" s="33"/>
      <c r="G56" s="33"/>
      <c r="H56" s="33"/>
      <c r="I56" s="33"/>
      <c r="J56" s="33"/>
      <c r="K56" s="33"/>
      <c r="L56" s="33"/>
      <c r="M56" s="33"/>
      <c r="N56" s="33"/>
      <c r="O56" s="33"/>
      <c r="P56" s="33"/>
      <c r="Q56" s="33"/>
      <c r="R56" s="33"/>
      <c r="S56" s="33"/>
      <c r="T56" s="33"/>
      <c r="U56" s="33"/>
      <c r="V56" s="33"/>
      <c r="W56" s="379"/>
      <c r="X56" s="379"/>
      <c r="AC56" s="33"/>
      <c r="AD56" s="33"/>
      <c r="AE56" s="33"/>
      <c r="AF56" s="33"/>
      <c r="AG56" s="33"/>
      <c r="AH56" s="33"/>
      <c r="AI56" s="33"/>
      <c r="AJ56" s="33"/>
    </row>
    <row r="57" spans="1:36" ht="93" customHeight="1">
      <c r="A57" s="537" t="s">
        <v>159</v>
      </c>
      <c r="B57" s="537"/>
      <c r="C57" s="537"/>
      <c r="D57" s="332"/>
      <c r="E57" s="189"/>
      <c r="F57" s="189"/>
      <c r="G57" s="189"/>
      <c r="H57" s="189"/>
      <c r="I57" s="189"/>
      <c r="J57" s="189"/>
      <c r="K57" s="189"/>
      <c r="L57" s="189"/>
      <c r="M57" s="189"/>
      <c r="N57" s="189"/>
      <c r="O57" s="189"/>
      <c r="P57" s="189"/>
      <c r="Q57" s="189"/>
      <c r="R57" s="189"/>
      <c r="S57" s="189"/>
      <c r="T57" s="189"/>
      <c r="U57" s="189"/>
      <c r="V57" s="189"/>
      <c r="W57" s="380"/>
      <c r="X57" s="380"/>
      <c r="AC57" s="33"/>
      <c r="AD57" s="33"/>
      <c r="AE57" s="33"/>
      <c r="AF57" s="33"/>
      <c r="AG57" s="33"/>
      <c r="AH57" s="33"/>
      <c r="AI57" s="33"/>
      <c r="AJ57" s="33"/>
    </row>
    <row r="58" spans="1:36" ht="15.6">
      <c r="A58" s="235"/>
      <c r="B58" s="236"/>
      <c r="C58" s="236"/>
      <c r="D58" s="236"/>
      <c r="E58" s="148"/>
      <c r="F58" s="148"/>
      <c r="G58" s="148"/>
      <c r="H58" s="148"/>
      <c r="I58" s="148"/>
      <c r="J58" s="148"/>
      <c r="K58" s="148"/>
      <c r="L58" s="148"/>
      <c r="M58" s="148"/>
      <c r="N58" s="148"/>
      <c r="O58" s="148"/>
      <c r="P58" s="148"/>
      <c r="Q58" s="148"/>
      <c r="R58" s="148"/>
      <c r="S58" s="148"/>
      <c r="T58" s="148"/>
      <c r="U58" s="148"/>
      <c r="V58" s="148"/>
      <c r="W58" s="381"/>
      <c r="X58" s="381"/>
    </row>
    <row r="59" spans="1:36" s="146" customFormat="1" ht="15.6">
      <c r="A59" s="333" t="s">
        <v>160</v>
      </c>
      <c r="B59" s="334"/>
      <c r="C59" s="334" t="s">
        <v>161</v>
      </c>
      <c r="D59" s="334"/>
      <c r="E59" s="149"/>
      <c r="F59" s="149"/>
      <c r="G59" s="149"/>
      <c r="H59" s="149"/>
      <c r="I59" s="149"/>
      <c r="J59" s="149"/>
      <c r="K59" s="149"/>
      <c r="L59" s="149"/>
      <c r="M59" s="149"/>
      <c r="N59" s="149"/>
      <c r="O59" s="149"/>
      <c r="P59" s="149"/>
      <c r="Q59" s="149"/>
      <c r="R59" s="149"/>
      <c r="S59" s="149"/>
      <c r="T59" s="149"/>
      <c r="U59" s="149"/>
      <c r="V59" s="149"/>
      <c r="W59" s="382"/>
      <c r="X59" s="382"/>
      <c r="Y59" s="368"/>
      <c r="Z59" s="215"/>
      <c r="AA59" s="216"/>
      <c r="AB59" s="216"/>
    </row>
    <row r="60" spans="1:36" ht="29.25" customHeight="1">
      <c r="A60" s="235" t="s">
        <v>162</v>
      </c>
      <c r="B60" s="236"/>
      <c r="C60" s="235" t="s">
        <v>162</v>
      </c>
      <c r="D60" s="236"/>
      <c r="E60" s="236"/>
      <c r="F60" s="236"/>
      <c r="G60" s="236"/>
      <c r="H60" s="236"/>
      <c r="I60" s="236"/>
      <c r="J60" s="236"/>
      <c r="K60" s="236"/>
      <c r="L60" s="236"/>
      <c r="M60" s="236"/>
      <c r="N60" s="236"/>
      <c r="O60" s="236"/>
      <c r="P60" s="236"/>
      <c r="Q60" s="236"/>
      <c r="R60" s="236"/>
      <c r="S60" s="236"/>
      <c r="T60" s="236"/>
      <c r="U60" s="148"/>
      <c r="V60" s="148"/>
      <c r="W60" s="381"/>
      <c r="X60" s="381"/>
      <c r="AH60" s="15"/>
    </row>
    <row r="61" spans="1:36" ht="15.6">
      <c r="A61" s="235"/>
      <c r="B61" s="236"/>
      <c r="C61" s="235"/>
      <c r="D61" s="236"/>
      <c r="E61" s="236"/>
      <c r="F61" s="236"/>
      <c r="G61" s="236"/>
      <c r="H61" s="236"/>
      <c r="I61" s="236"/>
      <c r="J61" s="236"/>
      <c r="K61" s="236"/>
      <c r="L61" s="236"/>
      <c r="M61" s="236"/>
      <c r="N61" s="236"/>
      <c r="O61" s="236"/>
      <c r="P61" s="236"/>
      <c r="Q61" s="236"/>
      <c r="R61" s="236"/>
      <c r="S61" s="236"/>
      <c r="T61" s="236"/>
      <c r="U61" s="148"/>
      <c r="V61" s="148"/>
      <c r="W61" s="381"/>
      <c r="X61" s="381"/>
    </row>
    <row r="62" spans="1:36" ht="29.25" customHeight="1">
      <c r="A62" s="235" t="s">
        <v>163</v>
      </c>
      <c r="B62" s="236"/>
      <c r="C62" s="235" t="s">
        <v>163</v>
      </c>
      <c r="D62" s="236"/>
      <c r="E62" s="236"/>
      <c r="F62" s="236"/>
      <c r="G62" s="236"/>
      <c r="H62" s="236"/>
      <c r="I62" s="236"/>
      <c r="J62" s="236"/>
      <c r="K62" s="236"/>
      <c r="L62" s="236"/>
      <c r="M62" s="236"/>
      <c r="N62" s="236"/>
      <c r="O62" s="236"/>
      <c r="P62" s="236"/>
      <c r="Q62" s="236"/>
      <c r="R62" s="236"/>
      <c r="S62" s="236"/>
      <c r="T62" s="236"/>
      <c r="U62" s="148"/>
      <c r="V62" s="148"/>
      <c r="W62" s="381"/>
      <c r="X62" s="381"/>
    </row>
    <row r="63" spans="1:36" ht="15.6">
      <c r="A63" s="235"/>
      <c r="B63" s="236"/>
      <c r="C63" s="235"/>
      <c r="D63" s="236"/>
      <c r="E63" s="236"/>
      <c r="F63" s="236"/>
      <c r="G63" s="236"/>
      <c r="H63" s="236"/>
      <c r="I63" s="236"/>
      <c r="J63" s="236"/>
      <c r="K63" s="236"/>
      <c r="L63" s="236"/>
      <c r="M63" s="236"/>
      <c r="N63" s="236"/>
      <c r="O63" s="236"/>
      <c r="P63" s="236"/>
      <c r="Q63" s="236"/>
      <c r="R63" s="236"/>
      <c r="S63" s="236"/>
      <c r="T63" s="236"/>
      <c r="U63" s="148"/>
      <c r="V63" s="148"/>
      <c r="W63" s="381"/>
      <c r="X63" s="381"/>
    </row>
    <row r="64" spans="1:36" ht="27.75" customHeight="1">
      <c r="A64" s="235" t="s">
        <v>164</v>
      </c>
      <c r="B64" s="236"/>
      <c r="C64" s="235" t="s">
        <v>164</v>
      </c>
      <c r="D64" s="236"/>
      <c r="E64" s="236"/>
      <c r="F64" s="236"/>
      <c r="G64" s="236"/>
      <c r="H64" s="236"/>
      <c r="I64" s="236"/>
      <c r="J64" s="236"/>
      <c r="K64" s="236"/>
      <c r="L64" s="236"/>
      <c r="M64" s="236"/>
      <c r="N64" s="236"/>
      <c r="O64" s="236"/>
      <c r="P64" s="236"/>
      <c r="Q64" s="236"/>
      <c r="R64" s="236"/>
      <c r="S64" s="236"/>
      <c r="T64" s="236"/>
      <c r="U64" s="148"/>
      <c r="V64" s="148"/>
      <c r="W64" s="381"/>
      <c r="X64" s="381"/>
    </row>
    <row r="65" spans="1:24">
      <c r="A65" s="285"/>
      <c r="B65" s="285"/>
      <c r="C65" s="335"/>
      <c r="D65" s="335"/>
    </row>
    <row r="66" spans="1:24">
      <c r="A66" s="363" t="s">
        <v>37</v>
      </c>
      <c r="B66" s="285"/>
      <c r="C66" s="285"/>
      <c r="D66" s="285"/>
      <c r="E66" s="3"/>
      <c r="F66" s="3"/>
      <c r="G66" s="3"/>
      <c r="H66" s="3"/>
      <c r="I66" s="3"/>
      <c r="J66" s="3"/>
      <c r="K66" s="3"/>
      <c r="L66" s="3"/>
      <c r="M66" s="3"/>
      <c r="N66" s="3"/>
      <c r="O66" s="3"/>
      <c r="P66" s="3"/>
      <c r="Q66" s="3"/>
      <c r="R66" s="3"/>
      <c r="S66" s="3"/>
      <c r="T66" s="3"/>
      <c r="U66" s="3"/>
      <c r="V66" s="3"/>
      <c r="W66" s="215"/>
      <c r="X66" s="215"/>
    </row>
    <row r="67" spans="1:24">
      <c r="A67" s="364">
        <v>3</v>
      </c>
      <c r="B67" s="339"/>
      <c r="C67" s="340"/>
      <c r="D67" s="341"/>
    </row>
    <row r="68" spans="1:24">
      <c r="A68" s="365">
        <v>45658</v>
      </c>
    </row>
    <row r="69" spans="1:24">
      <c r="A69" s="366" t="s">
        <v>165</v>
      </c>
    </row>
  </sheetData>
  <sheetProtection algorithmName="SHA-512" hashValue="9JIBhRu9H7pEtsOsotGKN8pZhsJv+UIiPDHZdIL+TLIGnTo67OwCBL1FBMuQBKE6Tw0KUVSEve9p9ds8UWnBTA==" saltValue="97YeiENR4MJlcppXADmcLA==" spinCount="100000" sheet="1" formatCells="0" formatColumns="0" formatRows="0" insertColumns="0" insertRows="0" deleteColumns="0" deleteRows="0"/>
  <mergeCells count="8">
    <mergeCell ref="A55:C55"/>
    <mergeCell ref="A57:C57"/>
    <mergeCell ref="B5:C5"/>
    <mergeCell ref="A12:C12"/>
    <mergeCell ref="A16:C16"/>
    <mergeCell ref="A22:C22"/>
    <mergeCell ref="A41:C41"/>
    <mergeCell ref="B7:C7"/>
  </mergeCells>
  <conditionalFormatting sqref="B11">
    <cfRule type="cellIs" dxfId="113" priority="10" operator="greaterThan">
      <formula>14000</formula>
    </cfRule>
  </conditionalFormatting>
  <conditionalFormatting sqref="B17">
    <cfRule type="cellIs" dxfId="112" priority="57" operator="greaterThan">
      <formula>88000</formula>
    </cfRule>
    <cfRule type="cellIs" dxfId="111" priority="60" operator="between">
      <formula>1</formula>
      <formula>65000</formula>
    </cfRule>
  </conditionalFormatting>
  <conditionalFormatting sqref="B18">
    <cfRule type="cellIs" dxfId="110" priority="53" operator="greaterThan">
      <formula>20000</formula>
    </cfRule>
    <cfRule type="cellIs" dxfId="109" priority="54" operator="between">
      <formula>1</formula>
      <formula>5000</formula>
    </cfRule>
  </conditionalFormatting>
  <conditionalFormatting sqref="B23">
    <cfRule type="cellIs" dxfId="108" priority="47" operator="greaterThan">
      <formula>12340</formula>
    </cfRule>
  </conditionalFormatting>
  <conditionalFormatting sqref="B24">
    <cfRule type="cellIs" dxfId="107" priority="4" operator="greaterThan">
      <formula>7129</formula>
    </cfRule>
  </conditionalFormatting>
  <conditionalFormatting sqref="B25">
    <cfRule type="cellIs" dxfId="106" priority="12" operator="greaterThan">
      <formula>3647</formula>
    </cfRule>
  </conditionalFormatting>
  <conditionalFormatting sqref="B28">
    <cfRule type="cellIs" dxfId="105" priority="1" operator="greaterThan">
      <formula>7420</formula>
    </cfRule>
  </conditionalFormatting>
  <conditionalFormatting sqref="B29">
    <cfRule type="cellIs" dxfId="104" priority="38" operator="greaterThan">
      <formula>5000</formula>
    </cfRule>
    <cfRule type="cellIs" dxfId="103" priority="39" operator="between">
      <formula>1</formula>
      <formula>1000</formula>
    </cfRule>
  </conditionalFormatting>
  <conditionalFormatting sqref="B30">
    <cfRule type="cellIs" dxfId="102" priority="32" operator="greaterThan">
      <formula>4160</formula>
    </cfRule>
  </conditionalFormatting>
  <conditionalFormatting sqref="B31">
    <cfRule type="cellIs" dxfId="101" priority="27" operator="greaterThan">
      <formula>6357</formula>
    </cfRule>
  </conditionalFormatting>
  <conditionalFormatting sqref="B38">
    <cfRule type="cellIs" dxfId="100" priority="9" operator="greaterThan">
      <formula>4000</formula>
    </cfRule>
  </conditionalFormatting>
  <conditionalFormatting sqref="B20:C20">
    <cfRule type="expression" dxfId="99" priority="50">
      <formula>$B$20&gt;($B$17+$B$18+$B$19)*17.5%</formula>
    </cfRule>
  </conditionalFormatting>
  <conditionalFormatting sqref="B27:C27">
    <cfRule type="cellIs" dxfId="98" priority="2" operator="greaterThan">
      <formula>2180</formula>
    </cfRule>
  </conditionalFormatting>
  <conditionalFormatting sqref="B30:C30">
    <cfRule type="expression" dxfId="97" priority="30">
      <formula>AND($B$30&gt;1,$B$30&lt;2000)</formula>
    </cfRule>
  </conditionalFormatting>
  <conditionalFormatting sqref="B32:C32">
    <cfRule type="expression" dxfId="96" priority="22">
      <formula>$B$32&gt;SUM($B$21,$B$23:$B$31)*15%</formula>
    </cfRule>
  </conditionalFormatting>
  <conditionalFormatting sqref="B39:C39">
    <cfRule type="expression" dxfId="95" priority="5">
      <formula>$B$11&lt;&gt;$B$39</formula>
    </cfRule>
  </conditionalFormatting>
  <conditionalFormatting sqref="C17">
    <cfRule type="expression" dxfId="94" priority="17">
      <formula>$B$17&gt;88000</formula>
    </cfRule>
    <cfRule type="expression" dxfId="93" priority="20">
      <formula>AND($B$17&gt;1,$B$17&lt;65000)</formula>
    </cfRule>
  </conditionalFormatting>
  <conditionalFormatting sqref="C18">
    <cfRule type="expression" dxfId="92" priority="14">
      <formula>AND($B$18&gt;1,$B$18&lt;5000)</formula>
    </cfRule>
    <cfRule type="expression" dxfId="91" priority="16">
      <formula>$B$18&gt;20000</formula>
    </cfRule>
  </conditionalFormatting>
  <conditionalFormatting sqref="C23">
    <cfRule type="expression" dxfId="90" priority="45">
      <formula>$B$23&gt;12340</formula>
    </cfRule>
  </conditionalFormatting>
  <conditionalFormatting sqref="C24">
    <cfRule type="expression" dxfId="89" priority="3">
      <formula>$B$24&gt;7129</formula>
    </cfRule>
  </conditionalFormatting>
  <conditionalFormatting sqref="C25">
    <cfRule type="expression" dxfId="88" priority="11">
      <formula>$B$25&gt;3647</formula>
    </cfRule>
  </conditionalFormatting>
  <conditionalFormatting sqref="C26">
    <cfRule type="cellIs" dxfId="87" priority="44" operator="greaterThan">
      <formula>8000</formula>
    </cfRule>
  </conditionalFormatting>
  <conditionalFormatting sqref="C28">
    <cfRule type="expression" dxfId="86" priority="42">
      <formula>$B$28&gt;7420</formula>
    </cfRule>
  </conditionalFormatting>
  <conditionalFormatting sqref="C29">
    <cfRule type="expression" dxfId="85" priority="34">
      <formula>$B$29&gt;2190</formula>
    </cfRule>
    <cfRule type="expression" dxfId="84" priority="36">
      <formula>AND($B$29&gt;1,$B$29&lt;1000)</formula>
    </cfRule>
  </conditionalFormatting>
  <conditionalFormatting sqref="C30">
    <cfRule type="expression" dxfId="83" priority="28">
      <formula>$B$30&gt;4640</formula>
    </cfRule>
  </conditionalFormatting>
  <conditionalFormatting sqref="C31">
    <cfRule type="expression" dxfId="82" priority="25">
      <formula>$B$31&gt;6357</formula>
    </cfRule>
  </conditionalFormatting>
  <hyperlinks>
    <hyperlink ref="A11" location="Instructions!A6" display="Approved FY22/23 surplus" xr:uid="{6C90146D-EA32-4055-95B3-BB47F702BEA8}"/>
    <hyperlink ref="A13" location="Instructions!A7" display="Income from HIPPY Australia" xr:uid="{F48FC39D-9655-4528-9057-A78A5466C336}"/>
    <hyperlink ref="A14" location="Instructions!A8" display="Other income" xr:uid="{F4704809-5A01-47BC-B360-956EC38FE3F9}"/>
    <hyperlink ref="A17" location="Instructions!A9" display="Coordinator(s)" xr:uid="{325BA475-1174-42F2-BBD6-37C97C9E7501}"/>
    <hyperlink ref="A18" location="Instructions!A10" display="Line Manager(s)" xr:uid="{621C4E39-EBC7-4853-880E-40051A2D7C03}"/>
    <hyperlink ref="A19" location="Instructions!A11" display="Tutors" xr:uid="{2818B659-7187-4835-BDC2-17B6B6B35F45}"/>
    <hyperlink ref="A20" location="Instructions!A12" display="Other employment" xr:uid="{FCF4476E-89FC-4117-B38C-CD97446CD194}"/>
    <hyperlink ref="A23" location="Instructions!A13" display="Property costs" xr:uid="{14FF7DCB-27CA-462A-80D3-346A1BE33852}"/>
    <hyperlink ref="A24" location="Instructions!A14" display="Materials &amp; resources" xr:uid="{D9AFCC2E-F6EE-4DE4-BC81-D5E1D05E3DCD}"/>
    <hyperlink ref="A25" location="Instructions!A15" display="Meetings &amp; gatherings" xr:uid="{9AFB0402-EFF6-4E5B-8BBE-4F25D80374FC}"/>
    <hyperlink ref="A27" location="Instructions!A17" display="Promotional costs" xr:uid="{C0973C08-C74D-475F-8684-31D0905B0E4B}"/>
    <hyperlink ref="A28" location="Instructions!A18" display="Travel" xr:uid="{39B246D6-1F04-4908-93A2-439D9E9B3EBB}"/>
    <hyperlink ref="A29" location="Instructions!A19" display="Professional development - Coordinator" xr:uid="{6ABBEC65-6A83-4FD9-87DF-B77DD9EFE96D}"/>
    <hyperlink ref="A31" location="Instructions!A21" display="Other " xr:uid="{F31C0F24-49C8-4A4F-BEE1-F6D820660014}"/>
    <hyperlink ref="A32" location="Instructions!A22" display="Overhead costs" xr:uid="{8D4727A2-C8A3-468B-8296-90550E52460E}"/>
    <hyperlink ref="A26" location="Instructions!A16" display="Office costs" xr:uid="{625EEC5E-2372-47B3-9C81-47860D1C681C}"/>
    <hyperlink ref="A30" location="Instructions!A20" display="Professional development - Tutors" xr:uid="{D1E86303-D7A3-4058-80B9-DDFC173CA9B7}"/>
    <hyperlink ref="A38" location="Instructions!A30" display="Contract Liability as of [Date]" xr:uid="{B2CC6341-6149-48B7-8357-9CEE7EB2E829}"/>
    <hyperlink ref="A39" location="Instructions!A30" display="Contract Liability - Amount" xr:uid="{3B535BAF-30BE-4895-9796-3C71FB1A48B5}"/>
  </hyperlinks>
  <printOptions horizontalCentered="1" verticalCentered="1"/>
  <pageMargins left="0.23622047244094491" right="0.23622047244094491" top="0.74803149606299213" bottom="0.74803149606299213" header="0.31496062992125984" footer="0.31496062992125984"/>
  <pageSetup paperSize="8" scale="90" orientation="portrait" r:id="rId1"/>
  <headerFooter>
    <oddHeader>&amp;L&amp;"Calibri"&amp;12&amp;K000000 OFFICIAL&amp;1#_x000D_</oddHeader>
  </headerFooter>
  <ignoredErrors>
    <ignoredError sqref="B11 B13:B15 B17:B21 B23:B32 B33:B35 B8" unlocked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6A0B8-31CE-477C-B1CD-ACB2C9943E44}">
  <sheetPr codeName="Sheet5">
    <tabColor theme="5" tint="-0.249977111117893"/>
  </sheetPr>
  <dimension ref="A1:AL79"/>
  <sheetViews>
    <sheetView workbookViewId="0">
      <selection activeCell="G39" sqref="G39"/>
    </sheetView>
  </sheetViews>
  <sheetFormatPr defaultColWidth="9.140625" defaultRowHeight="14.45"/>
  <cols>
    <col min="1" max="1" width="42" style="3" customWidth="1"/>
    <col min="2" max="2" width="20.140625" style="3" customWidth="1"/>
    <col min="3" max="3" width="40.42578125" style="3" customWidth="1"/>
    <col min="4" max="4" width="19.42578125" style="3" customWidth="1"/>
    <col min="5" max="5" width="20" style="3" customWidth="1"/>
    <col min="6" max="30" width="9.140625" style="3"/>
    <col min="31" max="31" width="12.28515625" style="3" bestFit="1" customWidth="1"/>
    <col min="32" max="35" width="9.140625" style="3"/>
    <col min="36" max="36" width="9.140625" style="3" hidden="1" customWidth="1"/>
    <col min="37" max="37" width="9.140625" style="342" hidden="1" customWidth="1"/>
    <col min="38" max="38" width="9.140625" style="3" customWidth="1"/>
    <col min="39" max="16384" width="9.140625" style="3"/>
  </cols>
  <sheetData>
    <row r="1" spans="1:5" ht="75" customHeight="1">
      <c r="B1" s="448" t="s">
        <v>166</v>
      </c>
      <c r="C1" s="448"/>
      <c r="D1" s="448"/>
      <c r="E1" s="448"/>
    </row>
    <row r="3" spans="1:5">
      <c r="B3" s="143" t="s">
        <v>78</v>
      </c>
    </row>
    <row r="4" spans="1:5">
      <c r="B4" s="144" t="s">
        <v>167</v>
      </c>
    </row>
    <row r="5" spans="1:5">
      <c r="B5" s="361" t="s">
        <v>80</v>
      </c>
    </row>
    <row r="7" spans="1:5" ht="15">
      <c r="A7" s="286" t="s">
        <v>81</v>
      </c>
      <c r="B7" s="527"/>
      <c r="C7" s="527"/>
      <c r="D7" s="527"/>
      <c r="E7" s="287"/>
    </row>
    <row r="8" spans="1:5" ht="15">
      <c r="A8" s="286" t="s">
        <v>119</v>
      </c>
      <c r="B8" s="288" t="s">
        <v>168</v>
      </c>
      <c r="C8" s="289"/>
      <c r="D8" s="289"/>
      <c r="E8" s="289"/>
    </row>
    <row r="9" spans="1:5" ht="15" thickBot="1">
      <c r="A9" s="285"/>
      <c r="B9" s="285"/>
      <c r="C9" s="285"/>
      <c r="D9" s="285"/>
      <c r="E9" s="285"/>
    </row>
    <row r="10" spans="1:5" ht="30.95">
      <c r="A10" s="290" t="s">
        <v>84</v>
      </c>
      <c r="B10" s="321" t="s">
        <v>154</v>
      </c>
      <c r="C10" s="528" t="s">
        <v>145</v>
      </c>
      <c r="D10" s="529"/>
      <c r="E10" s="285"/>
    </row>
    <row r="11" spans="1:5" ht="15.6">
      <c r="A11" s="514" t="s">
        <v>123</v>
      </c>
      <c r="B11" s="515"/>
      <c r="C11" s="515"/>
      <c r="D11" s="515"/>
      <c r="E11" s="285"/>
    </row>
    <row r="12" spans="1:5" ht="15.95" thickBot="1">
      <c r="A12" s="293" t="s">
        <v>91</v>
      </c>
      <c r="B12" s="220">
        <v>0</v>
      </c>
      <c r="C12" s="525"/>
      <c r="D12" s="526"/>
      <c r="E12" s="285"/>
    </row>
    <row r="13" spans="1:5" ht="15.95" thickBot="1">
      <c r="A13" s="293" t="s">
        <v>93</v>
      </c>
      <c r="B13" s="220">
        <v>0</v>
      </c>
      <c r="C13" s="498"/>
      <c r="D13" s="511"/>
      <c r="E13" s="285"/>
    </row>
    <row r="14" spans="1:5" ht="15.95" thickBot="1">
      <c r="A14" s="294" t="s">
        <v>94</v>
      </c>
      <c r="B14" s="295">
        <f>SUM(B12:B13)</f>
        <v>0</v>
      </c>
      <c r="C14" s="512"/>
      <c r="D14" s="513"/>
      <c r="E14" s="285"/>
    </row>
    <row r="15" spans="1:5" ht="15.75" customHeight="1">
      <c r="A15" s="514" t="s">
        <v>95</v>
      </c>
      <c r="B15" s="515"/>
      <c r="C15" s="515"/>
      <c r="D15" s="515"/>
      <c r="E15" s="285"/>
    </row>
    <row r="16" spans="1:5" ht="15.95" thickBot="1">
      <c r="A16" s="293" t="s">
        <v>97</v>
      </c>
      <c r="B16" s="217">
        <v>0</v>
      </c>
      <c r="C16" s="516"/>
      <c r="D16" s="517"/>
      <c r="E16" s="285"/>
    </row>
    <row r="17" spans="1:5" ht="15.95" thickBot="1">
      <c r="A17" s="293" t="s">
        <v>98</v>
      </c>
      <c r="B17" s="217">
        <v>0</v>
      </c>
      <c r="C17" s="500"/>
      <c r="D17" s="518"/>
      <c r="E17" s="285"/>
    </row>
    <row r="18" spans="1:5" ht="15.95" thickBot="1">
      <c r="A18" s="293" t="s">
        <v>99</v>
      </c>
      <c r="B18" s="217">
        <f>D49</f>
        <v>0</v>
      </c>
      <c r="C18" s="500"/>
      <c r="D18" s="518"/>
      <c r="E18" s="285"/>
    </row>
    <row r="19" spans="1:5" ht="15.95" thickBot="1">
      <c r="A19" s="293" t="s">
        <v>100</v>
      </c>
      <c r="B19" s="217">
        <f>B51+B52+B53+B54</f>
        <v>0</v>
      </c>
      <c r="C19" s="500"/>
      <c r="D19" s="518"/>
      <c r="E19" s="285"/>
    </row>
    <row r="20" spans="1:5" ht="15.6">
      <c r="A20" s="294" t="s">
        <v>101</v>
      </c>
      <c r="B20" s="295">
        <f>SUM(B16:B19)</f>
        <v>0</v>
      </c>
      <c r="C20" s="519"/>
      <c r="D20" s="520"/>
      <c r="E20" s="285"/>
    </row>
    <row r="21" spans="1:5" ht="16.5" customHeight="1">
      <c r="A21" s="521" t="s">
        <v>102</v>
      </c>
      <c r="B21" s="522"/>
      <c r="C21" s="522"/>
      <c r="D21" s="522"/>
      <c r="E21" s="285"/>
    </row>
    <row r="22" spans="1:5" ht="15.95" thickBot="1">
      <c r="A22" s="293" t="s">
        <v>103</v>
      </c>
      <c r="B22" s="217">
        <v>0</v>
      </c>
      <c r="C22" s="523"/>
      <c r="D22" s="524"/>
      <c r="E22" s="285"/>
    </row>
    <row r="23" spans="1:5" ht="15.95" thickBot="1">
      <c r="A23" s="293" t="s">
        <v>104</v>
      </c>
      <c r="B23" s="220">
        <v>0</v>
      </c>
      <c r="C23" s="498"/>
      <c r="D23" s="499"/>
      <c r="E23" s="285"/>
    </row>
    <row r="24" spans="1:5" ht="15.95" thickBot="1">
      <c r="A24" s="293" t="s">
        <v>105</v>
      </c>
      <c r="B24" s="220">
        <v>0</v>
      </c>
      <c r="C24" s="498"/>
      <c r="D24" s="499"/>
      <c r="E24" s="285"/>
    </row>
    <row r="25" spans="1:5" ht="15.95" thickBot="1">
      <c r="A25" s="293" t="s">
        <v>106</v>
      </c>
      <c r="B25" s="217">
        <v>0</v>
      </c>
      <c r="C25" s="496"/>
      <c r="D25" s="497"/>
      <c r="E25" s="285"/>
    </row>
    <row r="26" spans="1:5" ht="15.95" thickBot="1">
      <c r="A26" s="293" t="s">
        <v>107</v>
      </c>
      <c r="B26" s="220">
        <v>0</v>
      </c>
      <c r="C26" s="498"/>
      <c r="D26" s="499"/>
      <c r="E26" s="285"/>
    </row>
    <row r="27" spans="1:5" ht="15.95" thickBot="1">
      <c r="A27" s="293" t="s">
        <v>108</v>
      </c>
      <c r="B27" s="217">
        <v>0</v>
      </c>
      <c r="C27" s="496"/>
      <c r="D27" s="497"/>
      <c r="E27" s="285"/>
    </row>
    <row r="28" spans="1:5" ht="15.95" thickBot="1">
      <c r="A28" s="293" t="s">
        <v>109</v>
      </c>
      <c r="B28" s="217">
        <v>0</v>
      </c>
      <c r="C28" s="500"/>
      <c r="D28" s="501"/>
      <c r="E28" s="285"/>
    </row>
    <row r="29" spans="1:5" ht="15.95" thickBot="1">
      <c r="A29" s="293" t="s">
        <v>110</v>
      </c>
      <c r="B29" s="217">
        <v>0</v>
      </c>
      <c r="C29" s="500"/>
      <c r="D29" s="501"/>
      <c r="E29" s="296"/>
    </row>
    <row r="30" spans="1:5" ht="15.95" thickBot="1">
      <c r="A30" s="293" t="s">
        <v>111</v>
      </c>
      <c r="B30" s="217">
        <v>0</v>
      </c>
      <c r="C30" s="496"/>
      <c r="D30" s="497"/>
      <c r="E30" s="285"/>
    </row>
    <row r="31" spans="1:5" ht="15.95" thickBot="1">
      <c r="A31" s="293" t="s">
        <v>112</v>
      </c>
      <c r="B31" s="217">
        <v>0</v>
      </c>
      <c r="C31" s="502"/>
      <c r="D31" s="503"/>
      <c r="E31" s="296"/>
    </row>
    <row r="32" spans="1:5" ht="15.95" thickBot="1">
      <c r="A32" s="294" t="s">
        <v>113</v>
      </c>
      <c r="B32" s="295">
        <f>SUM(B22:B31)</f>
        <v>0</v>
      </c>
      <c r="C32" s="504"/>
      <c r="D32" s="505"/>
      <c r="E32" s="285"/>
    </row>
    <row r="33" spans="1:38" ht="15.95" thickBot="1">
      <c r="A33" s="294" t="s">
        <v>114</v>
      </c>
      <c r="B33" s="295">
        <f>SUM(B32+B20)</f>
        <v>0</v>
      </c>
      <c r="C33" s="504"/>
      <c r="D33" s="505"/>
      <c r="E33" s="285"/>
    </row>
    <row r="34" spans="1:38" ht="15.95" thickBot="1">
      <c r="A34" s="294" t="s">
        <v>115</v>
      </c>
      <c r="B34" s="295">
        <f>B14-B33</f>
        <v>0</v>
      </c>
      <c r="C34" s="506"/>
      <c r="D34" s="507"/>
      <c r="E34" s="285"/>
    </row>
    <row r="35" spans="1:38" ht="9.75" customHeight="1">
      <c r="A35" s="297"/>
      <c r="B35" s="297"/>
      <c r="C35" s="297"/>
      <c r="D35" s="297"/>
      <c r="E35" s="29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343"/>
      <c r="AL35" s="7"/>
    </row>
    <row r="36" spans="1:38" ht="24" customHeight="1">
      <c r="A36" s="508" t="s">
        <v>124</v>
      </c>
      <c r="B36" s="509"/>
      <c r="C36" s="509"/>
      <c r="D36" s="509"/>
      <c r="E36" s="510"/>
    </row>
    <row r="37" spans="1:38" ht="9.75" customHeight="1">
      <c r="A37" s="337"/>
      <c r="B37" s="337"/>
      <c r="C37" s="337"/>
      <c r="D37" s="337"/>
      <c r="E37" s="337"/>
    </row>
    <row r="38" spans="1:38" ht="15" thickBot="1">
      <c r="A38" s="297"/>
      <c r="B38" s="336" t="s">
        <v>169</v>
      </c>
      <c r="C38" s="297"/>
      <c r="D38" s="297"/>
      <c r="E38" s="297"/>
    </row>
    <row r="39" spans="1:38" ht="24" customHeight="1" thickBot="1">
      <c r="A39" s="298"/>
      <c r="B39" s="492" t="s">
        <v>125</v>
      </c>
      <c r="C39" s="493"/>
      <c r="D39" s="494" t="s">
        <v>126</v>
      </c>
      <c r="E39" s="495"/>
    </row>
    <row r="40" spans="1:38" ht="31.5" thickBot="1">
      <c r="A40" s="299" t="s">
        <v>127</v>
      </c>
      <c r="B40" s="300" t="s">
        <v>128</v>
      </c>
      <c r="C40" s="301" t="s">
        <v>129</v>
      </c>
      <c r="D40" s="302" t="s">
        <v>130</v>
      </c>
      <c r="E40" s="303" t="s">
        <v>131</v>
      </c>
    </row>
    <row r="41" spans="1:38" ht="15.95" thickBot="1">
      <c r="A41" s="304" t="s">
        <v>132</v>
      </c>
      <c r="B41" s="221"/>
      <c r="C41" s="222"/>
      <c r="D41" s="223"/>
      <c r="E41" s="224"/>
    </row>
    <row r="42" spans="1:38" ht="15.95" thickBot="1">
      <c r="A42" s="305" t="s">
        <v>133</v>
      </c>
      <c r="B42" s="221"/>
      <c r="C42" s="222"/>
      <c r="D42" s="225"/>
      <c r="E42" s="226"/>
    </row>
    <row r="43" spans="1:38" ht="15.95" thickBot="1">
      <c r="A43" s="305" t="s">
        <v>134</v>
      </c>
      <c r="B43" s="221"/>
      <c r="C43" s="222"/>
      <c r="D43" s="225"/>
      <c r="E43" s="226"/>
    </row>
    <row r="44" spans="1:38" ht="15.95" thickBot="1">
      <c r="A44" s="306" t="s">
        <v>99</v>
      </c>
      <c r="B44" s="227"/>
      <c r="C44" s="228"/>
      <c r="D44" s="229"/>
      <c r="E44" s="230"/>
    </row>
    <row r="45" spans="1:38" ht="24" customHeight="1" thickBot="1">
      <c r="A45" s="307" t="s">
        <v>135</v>
      </c>
      <c r="B45" s="486" t="s">
        <v>136</v>
      </c>
      <c r="C45" s="486"/>
      <c r="D45" s="486" t="s">
        <v>137</v>
      </c>
      <c r="E45" s="487"/>
    </row>
    <row r="46" spans="1:38" ht="15.95" thickBot="1">
      <c r="A46" s="304" t="s">
        <v>132</v>
      </c>
      <c r="B46" s="488">
        <v>0</v>
      </c>
      <c r="C46" s="489"/>
      <c r="D46" s="490">
        <f>(((_xlfn.XLOOKUP(C41,'SCHADS - 2025'!$A$6:$A$32,'SCHADS - 2025'!$C$6:$C$32,0,0))*38*52)*B46)+((_xlfn.XLOOKUP(C41,'CSA - 2025'!$A$20:$A$59,'CSA - 2025'!$C$20:$C$59,0,0)*38*52)*B46)+(E41*B46)</f>
        <v>0</v>
      </c>
      <c r="E46" s="491"/>
      <c r="AE46" s="41"/>
    </row>
    <row r="47" spans="1:38" ht="15.95" thickBot="1">
      <c r="A47" s="305" t="s">
        <v>133</v>
      </c>
      <c r="B47" s="477">
        <v>0</v>
      </c>
      <c r="C47" s="478"/>
      <c r="D47" s="479">
        <f>(((_xlfn.XLOOKUP(C42,'SCHADS - 2025'!$A$6:$A$32,'SCHADS - 2025'!$C$6:$C$32,0,0))*38*52)*B47)+((_xlfn.XLOOKUP(C42,'CSA - 2025'!$A$20:$A$59,'CSA - 2025'!$C$20:$C$59,0,0)*38*52)*B47)+(E42*B47)</f>
        <v>0</v>
      </c>
      <c r="E47" s="480"/>
    </row>
    <row r="48" spans="1:38" ht="15.95" thickBot="1">
      <c r="A48" s="305" t="s">
        <v>134</v>
      </c>
      <c r="B48" s="477">
        <v>0</v>
      </c>
      <c r="C48" s="478"/>
      <c r="D48" s="479">
        <f>(((_xlfn.XLOOKUP(C43,'SCHADS - 2025'!$A$6:$A$32,'SCHADS - 2025'!$C$6:$C$32,0,0))*38*52)*B48)+((_xlfn.XLOOKUP(C43,'CSA - 2025'!$A$20:$A$59,'CSA - 2025'!$C$20:$C$59,0,0)*38*52)*B48)+(E43*B48)</f>
        <v>0</v>
      </c>
      <c r="E48" s="480"/>
      <c r="AE48" s="41"/>
    </row>
    <row r="49" spans="1:37" ht="15.95" thickBot="1">
      <c r="A49" s="306" t="s">
        <v>99</v>
      </c>
      <c r="B49" s="481">
        <v>0</v>
      </c>
      <c r="C49" s="482"/>
      <c r="D49" s="483">
        <f>(((_xlfn.XLOOKUP(C44,'SCHADS - 2025'!$A$6:$A$32,'SCHADS - 2025'!$C$6:$C$32,0,0))*38*52)*B49)+((_xlfn.XLOOKUP(C44,'CSA - 2025'!$A$20:$A$59,'CSA - 2025'!$C$20:$C$59,0,0)*38*52)*B49)+(E44*B49)</f>
        <v>0</v>
      </c>
      <c r="E49" s="484"/>
    </row>
    <row r="50" spans="1:37" ht="24" customHeight="1" thickBot="1">
      <c r="A50" s="299" t="s">
        <v>138</v>
      </c>
      <c r="B50" s="461" t="s">
        <v>139</v>
      </c>
      <c r="C50" s="462"/>
      <c r="D50" s="462" t="s">
        <v>140</v>
      </c>
      <c r="E50" s="485"/>
    </row>
    <row r="51" spans="1:37" ht="15.95" thickBot="1">
      <c r="A51" s="304" t="s">
        <v>132</v>
      </c>
      <c r="B51" s="469">
        <v>0</v>
      </c>
      <c r="C51" s="470"/>
      <c r="D51" s="471">
        <f>D46+B51</f>
        <v>0</v>
      </c>
      <c r="E51" s="472"/>
    </row>
    <row r="52" spans="1:37" ht="15.95" thickBot="1">
      <c r="A52" s="305" t="s">
        <v>133</v>
      </c>
      <c r="B52" s="473">
        <v>0</v>
      </c>
      <c r="C52" s="474"/>
      <c r="D52" s="475">
        <f>D47+B52</f>
        <v>0</v>
      </c>
      <c r="E52" s="476"/>
    </row>
    <row r="53" spans="1:37" ht="15.95" thickBot="1">
      <c r="A53" s="305" t="s">
        <v>134</v>
      </c>
      <c r="B53" s="473">
        <v>0</v>
      </c>
      <c r="C53" s="474"/>
      <c r="D53" s="475">
        <f>D48+B53</f>
        <v>0</v>
      </c>
      <c r="E53" s="476"/>
    </row>
    <row r="54" spans="1:37" ht="15.95" thickBot="1">
      <c r="A54" s="306" t="s">
        <v>99</v>
      </c>
      <c r="B54" s="457">
        <v>0</v>
      </c>
      <c r="C54" s="458"/>
      <c r="D54" s="459">
        <f t="shared" ref="D54" si="0">D49+B54</f>
        <v>0</v>
      </c>
      <c r="E54" s="460"/>
    </row>
    <row r="55" spans="1:37" ht="24" customHeight="1" thickBot="1">
      <c r="A55" s="299" t="s">
        <v>141</v>
      </c>
      <c r="B55" s="461" t="s">
        <v>88</v>
      </c>
      <c r="C55" s="462"/>
      <c r="D55" s="462"/>
      <c r="E55" s="462"/>
    </row>
    <row r="56" spans="1:37" ht="15.95" thickBot="1">
      <c r="A56" s="304" t="s">
        <v>132</v>
      </c>
      <c r="B56" s="463"/>
      <c r="C56" s="464"/>
      <c r="D56" s="464"/>
      <c r="E56" s="465"/>
    </row>
    <row r="57" spans="1:37" ht="15.95" thickBot="1">
      <c r="A57" s="305" t="s">
        <v>133</v>
      </c>
      <c r="B57" s="466"/>
      <c r="C57" s="467"/>
      <c r="D57" s="467"/>
      <c r="E57" s="468"/>
    </row>
    <row r="58" spans="1:37" ht="15.95" thickBot="1">
      <c r="A58" s="305" t="s">
        <v>134</v>
      </c>
      <c r="B58" s="466"/>
      <c r="C58" s="467"/>
      <c r="D58" s="467"/>
      <c r="E58" s="468"/>
    </row>
    <row r="59" spans="1:37" ht="15.95" thickBot="1">
      <c r="A59" s="306" t="s">
        <v>99</v>
      </c>
      <c r="B59" s="452"/>
      <c r="C59" s="453"/>
      <c r="D59" s="453"/>
      <c r="E59" s="454"/>
    </row>
    <row r="60" spans="1:37">
      <c r="A60" s="308"/>
      <c r="B60" s="308"/>
      <c r="C60" s="308"/>
      <c r="D60" s="308"/>
      <c r="E60" s="308"/>
    </row>
    <row r="61" spans="1:37">
      <c r="A61" s="285"/>
      <c r="B61" s="285"/>
      <c r="C61" s="285"/>
      <c r="D61" s="285"/>
      <c r="E61" s="285"/>
    </row>
    <row r="62" spans="1:37" ht="15.6">
      <c r="A62" s="455" t="s">
        <v>116</v>
      </c>
      <c r="B62" s="456" t="s">
        <v>92</v>
      </c>
      <c r="C62" s="456"/>
      <c r="D62" s="456"/>
      <c r="E62" s="456"/>
    </row>
    <row r="63" spans="1:37">
      <c r="A63" s="194" t="str" cm="1">
        <f t="array" ref="A63">_xlfn._xlws.FILTER(AK63:AK75,AJ63:AJ75=FALSE,"")</f>
        <v/>
      </c>
      <c r="B63" s="194"/>
      <c r="C63" s="194"/>
      <c r="D63" s="194"/>
      <c r="E63" s="194"/>
      <c r="AJ63" s="146" t="b">
        <f>AK63=""</f>
        <v>1</v>
      </c>
      <c r="AK63" s="193" t="str">
        <f>IF(AND(B16 &gt;= 1, B16 &lt;= 16250), "Coordinator Salary lower than average. Provide details in comments if this line item has an orange background", IF(B16 &gt; 22000, "Coordinator Salary higher than average. Provide details in comments if this line item has an orange background", ""))</f>
        <v/>
      </c>
    </row>
    <row r="64" spans="1:37">
      <c r="A64" s="194"/>
      <c r="B64" s="194"/>
      <c r="C64" s="194"/>
      <c r="D64" s="194"/>
      <c r="E64" s="194"/>
      <c r="AJ64" s="146" t="b">
        <f>AK64=""</f>
        <v>1</v>
      </c>
      <c r="AK64" s="193" t="str">
        <f>IF(AND(B17 &gt;= 1, B17 &lt;= 2500), "Line Manager Salary lower than average. Provide details in comments if this line item has an orange background", IF(B17 &gt; 5000, "Line Manager Salary higher than average. Provide details in comments if this line item has an orange background", ""))</f>
        <v/>
      </c>
    </row>
    <row r="65" spans="1:37">
      <c r="A65" s="194"/>
      <c r="B65" s="194"/>
      <c r="C65" s="194"/>
      <c r="D65" s="194"/>
      <c r="E65" s="194"/>
      <c r="AJ65" s="146" t="b">
        <f t="shared" ref="AJ65:AJ66" si="1">AK65=""</f>
        <v>1</v>
      </c>
      <c r="AK65" s="193" t="str">
        <f>IF(B24&gt;2500,"Meetings and Gatherings higher than average please provide details in the comments section","")</f>
        <v/>
      </c>
    </row>
    <row r="66" spans="1:37">
      <c r="A66" s="194"/>
      <c r="B66" s="194"/>
      <c r="C66" s="194"/>
      <c r="D66" s="194"/>
      <c r="E66" s="194"/>
      <c r="AJ66" s="146" t="b">
        <f t="shared" si="1"/>
        <v>1</v>
      </c>
      <c r="AK66" s="193" t="str">
        <f>IF(B30&gt;0,"Please provide details of the inclusions in the comments section","")</f>
        <v/>
      </c>
    </row>
    <row r="67" spans="1:37">
      <c r="A67" s="194"/>
      <c r="B67" s="194"/>
      <c r="C67" s="194"/>
      <c r="D67" s="194"/>
      <c r="E67" s="194"/>
      <c r="AJ67" s="146" t="b">
        <f>AK67=""</f>
        <v>1</v>
      </c>
      <c r="AK67" s="193" t="str">
        <f>IFERROR(IF(B31/B12&gt;0.15,"Overheads higher than 15%. Provide details in comments if this line item has an orange background",""),"")</f>
        <v/>
      </c>
    </row>
    <row r="68" spans="1:37">
      <c r="A68" s="194"/>
      <c r="B68" s="194"/>
      <c r="C68" s="194"/>
      <c r="D68" s="194"/>
      <c r="E68" s="194"/>
      <c r="AJ68" s="146" t="b">
        <f>AK68=""</f>
        <v>1</v>
      </c>
      <c r="AK68" s="193" t="str">
        <f>IF(B19&gt;(B16+B17+B18)*20%,"Other employment higher than average. Please provide details","")</f>
        <v/>
      </c>
    </row>
    <row r="69" spans="1:37">
      <c r="A69" s="194"/>
      <c r="B69" s="194"/>
      <c r="C69" s="194"/>
      <c r="D69" s="194"/>
      <c r="E69" s="194"/>
      <c r="AJ69" s="146" t="b">
        <f t="shared" ref="AJ69:AJ76" si="2">AK69=""</f>
        <v>1</v>
      </c>
      <c r="AK69" s="342" t="str">
        <f>IF(B22&gt;3500,"Property Costs higher than avererage. Please provide details in the comments section","")</f>
        <v/>
      </c>
    </row>
    <row r="70" spans="1:37">
      <c r="A70" s="194"/>
      <c r="B70" s="194"/>
      <c r="C70" s="194"/>
      <c r="D70" s="194"/>
      <c r="E70" s="194"/>
      <c r="AJ70" s="146" t="b">
        <f t="shared" si="2"/>
        <v>1</v>
      </c>
      <c r="AK70" s="342" t="str">
        <f>IF(B25&gt;2000,"Office Costs higher than avererage. Please provide details in the comments section","")</f>
        <v/>
      </c>
    </row>
    <row r="71" spans="1:37">
      <c r="A71" s="194"/>
      <c r="B71" s="194"/>
      <c r="C71" s="194"/>
      <c r="D71" s="194"/>
      <c r="E71" s="194"/>
      <c r="AJ71" s="146" t="b">
        <f t="shared" si="2"/>
        <v>1</v>
      </c>
      <c r="AK71" s="342" t="str">
        <f>IF(B27&gt;2000,"Travel Costs higher than avererage. Please provide details in the comments section","")</f>
        <v/>
      </c>
    </row>
    <row r="72" spans="1:37">
      <c r="A72" s="194"/>
      <c r="B72" s="194"/>
      <c r="C72" s="194"/>
      <c r="D72" s="194"/>
      <c r="E72" s="194"/>
      <c r="AJ72" s="146" t="b">
        <f t="shared" si="2"/>
        <v>1</v>
      </c>
      <c r="AK72" s="342" t="str">
        <f>IF(AND(B28&lt;1000,B28&gt;1),"Professional development Coordinator lower than avererage. Please provide details in the comments section","")</f>
        <v/>
      </c>
    </row>
    <row r="73" spans="1:37">
      <c r="A73" s="194"/>
      <c r="B73" s="194"/>
      <c r="C73" s="194"/>
      <c r="D73" s="194"/>
      <c r="E73" s="194"/>
      <c r="AJ73" s="146" t="b">
        <f t="shared" si="2"/>
        <v>1</v>
      </c>
      <c r="AK73" s="342" t="str">
        <f>IF(B28&gt;2500,"Professional development Coordinator higher than avererage. Please provide details in the comments section","")</f>
        <v/>
      </c>
    </row>
    <row r="74" spans="1:37">
      <c r="A74" s="194"/>
      <c r="B74" s="194"/>
      <c r="C74" s="194"/>
      <c r="D74" s="194"/>
      <c r="E74" s="194"/>
      <c r="AJ74" s="146" t="b">
        <f t="shared" si="2"/>
        <v>1</v>
      </c>
      <c r="AK74" s="342" t="str">
        <f>IF(AND(B29&lt;2000,B29&gt;1),"Professional development Tutors lower than avererage. Please provide details in the comments section","")</f>
        <v/>
      </c>
    </row>
    <row r="75" spans="1:37">
      <c r="AJ75" s="146" t="b">
        <f t="shared" si="2"/>
        <v>1</v>
      </c>
      <c r="AK75" s="342" t="str">
        <f>IF(B29&gt;3500,"Professional development Tutor higher than avererage. Please provide details in the comments section","")</f>
        <v/>
      </c>
    </row>
    <row r="76" spans="1:37">
      <c r="A76" s="338" t="s">
        <v>37</v>
      </c>
      <c r="AJ76" s="146" t="b">
        <f t="shared" si="2"/>
        <v>1</v>
      </c>
      <c r="AK76" s="342" t="str">
        <f>IF(B30&gt;2500,"Other - higher than avererage. Please provide details in the comments section","")</f>
        <v/>
      </c>
    </row>
    <row r="77" spans="1:37">
      <c r="A77" s="339">
        <v>2</v>
      </c>
      <c r="B77" s="339"/>
      <c r="C77" s="340"/>
      <c r="D77" s="341"/>
    </row>
    <row r="78" spans="1:37">
      <c r="A78" s="340">
        <v>45658</v>
      </c>
    </row>
    <row r="79" spans="1:37">
      <c r="A79" s="341" t="s">
        <v>170</v>
      </c>
    </row>
  </sheetData>
  <sheetProtection algorithmName="SHA-512" hashValue="nOEXgCIObfW6BqGNdUpriMhzulCuDEMRUjbE3RGQaXvXMF2sux7H/R4K/50J5X85s0LkC1VvIETl89jd1/Wymg==" saltValue="KI2shggRqLr5keujGB4CuQ==" spinCount="100000" sheet="1" objects="1" scenarios="1"/>
  <mergeCells count="56">
    <mergeCell ref="A62:E62"/>
    <mergeCell ref="B59:E59"/>
    <mergeCell ref="C18:D18"/>
    <mergeCell ref="C19:D19"/>
    <mergeCell ref="B52:C52"/>
    <mergeCell ref="D52:E52"/>
    <mergeCell ref="D51:E51"/>
    <mergeCell ref="B51:C51"/>
    <mergeCell ref="C31:D31"/>
    <mergeCell ref="C32:D32"/>
    <mergeCell ref="C33:D33"/>
    <mergeCell ref="C34:D34"/>
    <mergeCell ref="C30:D30"/>
    <mergeCell ref="D50:E50"/>
    <mergeCell ref="B39:C39"/>
    <mergeCell ref="D39:E39"/>
    <mergeCell ref="B1:E1"/>
    <mergeCell ref="A11:D11"/>
    <mergeCell ref="A15:D15"/>
    <mergeCell ref="A21:D21"/>
    <mergeCell ref="C10:D10"/>
    <mergeCell ref="C12:D12"/>
    <mergeCell ref="C13:D13"/>
    <mergeCell ref="C14:D14"/>
    <mergeCell ref="B7:D7"/>
    <mergeCell ref="C20:D20"/>
    <mergeCell ref="C16:D16"/>
    <mergeCell ref="C17:D17"/>
    <mergeCell ref="B50:C50"/>
    <mergeCell ref="D46:E46"/>
    <mergeCell ref="B45:C45"/>
    <mergeCell ref="D45:E45"/>
    <mergeCell ref="B46:C46"/>
    <mergeCell ref="D47:E47"/>
    <mergeCell ref="D48:E48"/>
    <mergeCell ref="D49:E49"/>
    <mergeCell ref="B47:C47"/>
    <mergeCell ref="A36:E36"/>
    <mergeCell ref="B48:C48"/>
    <mergeCell ref="B49:C49"/>
    <mergeCell ref="C25:D25"/>
    <mergeCell ref="C22:D22"/>
    <mergeCell ref="C23:D23"/>
    <mergeCell ref="C24:D24"/>
    <mergeCell ref="C26:D26"/>
    <mergeCell ref="C27:D27"/>
    <mergeCell ref="C28:D28"/>
    <mergeCell ref="C29:D29"/>
    <mergeCell ref="B58:E58"/>
    <mergeCell ref="D53:E53"/>
    <mergeCell ref="D54:E54"/>
    <mergeCell ref="B55:E55"/>
    <mergeCell ref="B56:E56"/>
    <mergeCell ref="B57:E57"/>
    <mergeCell ref="B53:C53"/>
    <mergeCell ref="B54:C54"/>
  </mergeCells>
  <phoneticPr fontId="28" type="noConversion"/>
  <conditionalFormatting sqref="B16">
    <cfRule type="cellIs" dxfId="81" priority="57" operator="greaterThan">
      <formula>22000</formula>
    </cfRule>
    <cfRule type="cellIs" dxfId="80" priority="58" operator="between">
      <formula>1</formula>
      <formula>16250</formula>
    </cfRule>
  </conditionalFormatting>
  <conditionalFormatting sqref="B17">
    <cfRule type="cellIs" dxfId="79" priority="51" operator="greaterThan">
      <formula>3750</formula>
    </cfRule>
    <cfRule type="cellIs" dxfId="78" priority="52" operator="between">
      <formula>1</formula>
      <formula>2500</formula>
    </cfRule>
  </conditionalFormatting>
  <conditionalFormatting sqref="B19">
    <cfRule type="expression" dxfId="77" priority="6">
      <formula>$B$19&gt;($B$16+$B$17+$B$18)*20%</formula>
    </cfRule>
  </conditionalFormatting>
  <conditionalFormatting sqref="B22">
    <cfRule type="cellIs" dxfId="76" priority="42" operator="greaterThan">
      <formula>3500</formula>
    </cfRule>
  </conditionalFormatting>
  <conditionalFormatting sqref="B24">
    <cfRule type="cellIs" dxfId="75" priority="2" operator="greaterThan">
      <formula>2500</formula>
    </cfRule>
  </conditionalFormatting>
  <conditionalFormatting sqref="B25">
    <cfRule type="cellIs" dxfId="74" priority="39" operator="greaterThan">
      <formula>2000</formula>
    </cfRule>
    <cfRule type="cellIs" dxfId="73" priority="40" operator="greaterThan">
      <formula>4000</formula>
    </cfRule>
  </conditionalFormatting>
  <conditionalFormatting sqref="B27">
    <cfRule type="cellIs" dxfId="72" priority="35" operator="greaterThan">
      <formula>2000</formula>
    </cfRule>
  </conditionalFormatting>
  <conditionalFormatting sqref="B28">
    <cfRule type="cellIs" dxfId="71" priority="24" operator="between">
      <formula>1</formula>
      <formula>1000</formula>
    </cfRule>
  </conditionalFormatting>
  <conditionalFormatting sqref="B28:B30">
    <cfRule type="cellIs" dxfId="70" priority="12" operator="greaterThan">
      <formula>2500</formula>
    </cfRule>
  </conditionalFormatting>
  <conditionalFormatting sqref="B29">
    <cfRule type="expression" dxfId="69" priority="18">
      <formula>AND($B$29&gt;1,$B$29&lt;2000)</formula>
    </cfRule>
  </conditionalFormatting>
  <conditionalFormatting sqref="B31">
    <cfRule type="expression" dxfId="68" priority="10">
      <formula>$B$31/$B$12&gt;0.15</formula>
    </cfRule>
  </conditionalFormatting>
  <conditionalFormatting sqref="C16">
    <cfRule type="expression" dxfId="67" priority="53">
      <formula>$B$16&gt;22000</formula>
    </cfRule>
    <cfRule type="expression" dxfId="66" priority="56">
      <formula>AND($B$16&gt;1,$B$16&lt;16250)</formula>
    </cfRule>
  </conditionalFormatting>
  <conditionalFormatting sqref="C17">
    <cfRule type="expression" dxfId="65" priority="48">
      <formula>AND($B$17&gt;1,$B$17&lt;2500)</formula>
    </cfRule>
    <cfRule type="expression" dxfId="64" priority="50">
      <formula>$B$17&gt;5000</formula>
    </cfRule>
  </conditionalFormatting>
  <conditionalFormatting sqref="C19">
    <cfRule type="expression" dxfId="63" priority="5">
      <formula>$B$19&gt;($B$16+$B$17+$B$18)*20%</formula>
    </cfRule>
  </conditionalFormatting>
  <conditionalFormatting sqref="C22">
    <cfRule type="expression" dxfId="62" priority="41">
      <formula>$B$22&gt;4000</formula>
    </cfRule>
  </conditionalFormatting>
  <conditionalFormatting sqref="C25">
    <cfRule type="expression" dxfId="61" priority="36">
      <formula>"($B$26+$C$26)&gt;4000"</formula>
    </cfRule>
    <cfRule type="expression" dxfId="60" priority="38">
      <formula>$B$25&gt;2000</formula>
    </cfRule>
  </conditionalFormatting>
  <conditionalFormatting sqref="C27">
    <cfRule type="expression" dxfId="59" priority="34">
      <formula>$B$27&gt;2000</formula>
    </cfRule>
  </conditionalFormatting>
  <conditionalFormatting sqref="C28">
    <cfRule type="expression" dxfId="58" priority="19">
      <formula>$B$28&gt;2500</formula>
    </cfRule>
    <cfRule type="expression" dxfId="57" priority="21">
      <formula>AND($B$28&gt;1,$B$28&lt;1000)</formula>
    </cfRule>
  </conditionalFormatting>
  <conditionalFormatting sqref="C29">
    <cfRule type="expression" dxfId="56" priority="13">
      <formula>$B$29&gt;2500</formula>
    </cfRule>
    <cfRule type="expression" dxfId="55" priority="15">
      <formula>AND($B$29&gt;1,$B$29&lt;2000)</formula>
    </cfRule>
  </conditionalFormatting>
  <conditionalFormatting sqref="C30">
    <cfRule type="expression" dxfId="54" priority="11">
      <formula>$B$30&gt;2500</formula>
    </cfRule>
  </conditionalFormatting>
  <conditionalFormatting sqref="C31">
    <cfRule type="expression" dxfId="53" priority="8">
      <formula>$B$31/$B$12&gt;0.15</formula>
    </cfRule>
  </conditionalFormatting>
  <conditionalFormatting sqref="C24:D24">
    <cfRule type="expression" dxfId="52" priority="1">
      <formula>$B$24&gt;2500</formula>
    </cfRule>
  </conditionalFormatting>
  <hyperlinks>
    <hyperlink ref="A36:E36" location="Instructions!A53" display="Remuneration Detail" xr:uid="{71C9CC27-8E54-44E4-BBC4-5381CF04D840}"/>
    <hyperlink ref="A12" location="Instructions!A7" display="Income from HIPPY Australia" xr:uid="{B03C1DD2-27BB-4077-8A55-E8368D76019D}"/>
    <hyperlink ref="A13" location="Instructions!A8" display="Other income" xr:uid="{C04DCB0E-9F96-428A-B897-04E7191097AB}"/>
    <hyperlink ref="A16" location="Instructions!A9" display="Coordinator(s)" xr:uid="{BA54C615-9084-45C0-85CA-4567F30CE89A}"/>
    <hyperlink ref="A17" location="Instructions!A10" display="Line Manager(s)" xr:uid="{6CF421F1-849F-4CEB-ACA8-EB5E43AE2001}"/>
    <hyperlink ref="A18" location="Instructions!A11" display="Tutors" xr:uid="{C3A9BE1E-52CD-4705-A513-E44AF06445DA}"/>
    <hyperlink ref="A19" location="Instructions!A12" display="Other employment" xr:uid="{3059CDD7-757C-4EA3-8585-5162C18145A6}"/>
    <hyperlink ref="A22" location="Instructions!A13" display="Property costs" xr:uid="{F728E201-5872-486C-B76D-685071A774A2}"/>
    <hyperlink ref="A23" location="Instructions!A14" display="Materials &amp; resources" xr:uid="{5BFAC87C-57F0-485C-A0D5-F73896F0C30E}"/>
    <hyperlink ref="A24" location="Instructions!A15" display="Meetings &amp; gatherings" xr:uid="{1808CD7C-9FB3-47F2-9CC6-4CB92EB25C00}"/>
    <hyperlink ref="A26" location="Instructions!A17" display="Promotional costs" xr:uid="{A6F72F5C-16C0-4139-91A7-CD2C9A5AEC9D}"/>
    <hyperlink ref="A27" location="Instructions!A18" display="Travel" xr:uid="{CE2AEEEF-7CE7-458B-A292-AF5A762F370A}"/>
    <hyperlink ref="A28" location="Instructions!A19" display="Professional development - Coordinator" xr:uid="{19CE7664-8C57-4436-A06A-BCA48417734E}"/>
    <hyperlink ref="A30" location="Instructions!A21" display="Other " xr:uid="{4614EEF9-A7C4-449E-AAB4-3BE9AB1EC3AE}"/>
    <hyperlink ref="A31" location="Instructions!A22" display="Overhead costs" xr:uid="{30E1B3B8-6117-406D-BBDE-1B8CCDE97C67}"/>
    <hyperlink ref="A25" location="Instructions!A16" display="Office costs" xr:uid="{AD41C9D4-B160-4544-8E5D-9B9A79BA6975}"/>
    <hyperlink ref="A29" location="Instructions!A20" display="Professional development - Tutors" xr:uid="{00AB79E3-7C22-4B24-B9E3-8EF9546EF8B2}"/>
  </hyperlinks>
  <printOptions horizontalCentered="1" verticalCentered="1"/>
  <pageMargins left="0.23622047244094491" right="0.23622047244094491" top="0.74803149606299213" bottom="0.74803149606299213" header="0.31496062992125984" footer="0.31496062992125984"/>
  <pageSetup paperSize="9" scale="68" orientation="portrait" r:id="rId1"/>
  <headerFooter>
    <oddHeader>&amp;L&amp;"Calibri"&amp;12&amp;K000000 OFFICIAL&amp;1#_x000D_</oddHeader>
  </headerFooter>
  <ignoredErrors>
    <ignoredError sqref="B18:B19 B14 B32:B34 D46:E49 D51:E54" unlockedFormula="1"/>
  </ignoredError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7C67D02-6BFB-4788-95D4-64637D5044AF}">
          <x14:formula1>
            <xm:f>Lists!$A$2:$A$3</xm:f>
          </x14:formula1>
          <xm:sqref>B41:B44</xm:sqref>
        </x14:dataValidation>
        <x14:dataValidation type="list" allowBlank="1" showInputMessage="1" showErrorMessage="1" xr:uid="{7889FFBC-7671-4D86-A1A1-D9C94A1B675F}">
          <x14:formula1>
            <xm:f>Lists!$A$5:$A$71</xm:f>
          </x14:formula1>
          <xm:sqref>C41:C44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837cbc0-f73e-48a5-92f4-1432fc8b9031">
      <Value>161</Value>
    </TaxCatchAll>
    <lcf76f155ced4ddcb4097134ff3c332f xmlns="9dadbe74-aefb-409e-b4ec-c77ecb81cf5c">
      <Terms xmlns="http://schemas.microsoft.com/office/infopath/2007/PartnerControls"/>
    </lcf76f155ced4ddcb4097134ff3c332f>
    <_Version xmlns="http://schemas.microsoft.com/sharepoint/v3/fields" xsi:nil="true"/>
    <_Flow_SignoffStatus xmlns="9dadbe74-aefb-409e-b4ec-c77ecb81cf5c" xsi:nil="true"/>
    <mca4f6966e0944c2aaae415d6d5126d2 xmlns="9dadbe74-aefb-409e-b4ec-c77ecb81cf5c">
      <Terms xmlns="http://schemas.microsoft.com/office/infopath/2007/PartnerControls">
        <TermInfo xmlns="http://schemas.microsoft.com/office/infopath/2007/PartnerControls">
          <TermName xmlns="http://schemas.microsoft.com/office/infopath/2007/PartnerControls">Quality, Performance and Administration</TermName>
          <TermId xmlns="http://schemas.microsoft.com/office/infopath/2007/PartnerControls">1e0e966f-c8fb-4f9b-8fec-96953adeca55</TermId>
        </TermInfo>
      </Terms>
    </mca4f6966e0944c2aaae415d6d5126d2>
    <RevisionUpdate xmlns="9dadbe74-aefb-409e-b4ec-c77ecb81cf5c" xsi:nil="true"/>
    <ProcessorEvent xmlns="9dadbe74-aefb-409e-b4ec-c77ecb81cf5c" xsi:nil="true"/>
    <RelatedProcess xmlns="9dadbe74-aefb-409e-b4ec-c77ecb81cf5c" xsi:nil="true"/>
    <Tags xmlns="9dadbe74-aefb-409e-b4ec-c77ecb81cf5c" xsi:nil="true"/>
    <ResourceType xmlns="9dadbe74-aefb-409e-b4ec-c77ecb81cf5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63943DE91EF9C44B9676AEC5207D432" ma:contentTypeVersion="21" ma:contentTypeDescription="Create a new document." ma:contentTypeScope="" ma:versionID="978302dcda74e60fdc7c315e191c5dbb">
  <xsd:schema xmlns:xsd="http://www.w3.org/2001/XMLSchema" xmlns:xs="http://www.w3.org/2001/XMLSchema" xmlns:p="http://schemas.microsoft.com/office/2006/metadata/properties" xmlns:ns2="9dadbe74-aefb-409e-b4ec-c77ecb81cf5c" xmlns:ns3="8837cbc0-f73e-48a5-92f4-1432fc8b9031" xmlns:ns4="http://schemas.microsoft.com/sharepoint/v3/fields" targetNamespace="http://schemas.microsoft.com/office/2006/metadata/properties" ma:root="true" ma:fieldsID="67450236094bccf4d97a68d222156109" ns2:_="" ns3:_="" ns4:_="">
    <xsd:import namespace="9dadbe74-aefb-409e-b4ec-c77ecb81cf5c"/>
    <xsd:import namespace="8837cbc0-f73e-48a5-92f4-1432fc8b9031"/>
    <xsd:import namespace="http://schemas.microsoft.com/sharepoint/v3/fields"/>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4:_Version" minOccurs="0"/>
                <xsd:element ref="ns2:mca4f6966e0944c2aaae415d6d5126d2" minOccurs="0"/>
                <xsd:element ref="ns2:RevisionUpdate" minOccurs="0"/>
                <xsd:element ref="ns2:Tags" minOccurs="0"/>
                <xsd:element ref="ns2:RelatedProcess" minOccurs="0"/>
                <xsd:element ref="ns2:ProcessorEvent" minOccurs="0"/>
                <xsd:element ref="ns2:ResourceType"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adbe74-aefb-409e-b4ec-c77ecb81cf5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15b29fe4-328b-459f-a24c-0e58c8462544"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ca4f6966e0944c2aaae415d6d5126d2" ma:index="21" nillable="true" ma:taxonomy="true" ma:internalName="mca4f6966e0944c2aaae415d6d5126d2" ma:taxonomyFieldName="Owner" ma:displayName="Owner" ma:default="" ma:fieldId="{6ca4f696-6e09-44c2-aaae-415d6d5126d2}" ma:sspId="15b29fe4-328b-459f-a24c-0e58c8462544" ma:termSetId="386095d1-c68d-4c6d-b587-48ddaf1aecc9" ma:anchorId="00000000-0000-0000-0000-000000000000" ma:open="false" ma:isKeyword="false">
      <xsd:complexType>
        <xsd:sequence>
          <xsd:element ref="pc:Terms" minOccurs="0" maxOccurs="1"/>
        </xsd:sequence>
      </xsd:complexType>
    </xsd:element>
    <xsd:element name="RevisionUpdate" ma:index="22" nillable="true" ma:displayName="Revision Update" ma:format="Dropdown" ma:internalName="RevisionUpdate">
      <xsd:simpleType>
        <xsd:restriction base="dms:Note">
          <xsd:maxLength value="255"/>
        </xsd:restriction>
      </xsd:simpleType>
    </xsd:element>
    <xsd:element name="Tags" ma:index="23" nillable="true" ma:displayName="Tags" ma:format="Dropdown" ma:internalName="Tags">
      <xsd:complexType>
        <xsd:complexContent>
          <xsd:extension base="dms:MultiChoice">
            <xsd:sequence>
              <xsd:element name="Value" maxOccurs="unbounded" minOccurs="0" nillable="true">
                <xsd:simpleType>
                  <xsd:restriction base="dms:Choice">
                    <xsd:enumeration value="Safeguarding"/>
                    <xsd:enumeration value="Transition/Establishment"/>
                    <xsd:enumeration value="Annual Statement Safeguarding Compliance"/>
                    <xsd:enumeration value="Risk Assessment"/>
                    <xsd:enumeration value="Risk Mgt Plan"/>
                    <xsd:enumeration value="Type A"/>
                    <xsd:enumeration value="Type B"/>
                    <xsd:enumeration value="Type C"/>
                  </xsd:restriction>
                </xsd:simpleType>
              </xsd:element>
            </xsd:sequence>
          </xsd:extension>
        </xsd:complexContent>
      </xsd:complexType>
    </xsd:element>
    <xsd:element name="RelatedProcess" ma:index="24" nillable="true" ma:displayName="Related Process" ma:format="Dropdown" ma:internalName="RelatedProcess">
      <xsd:simpleType>
        <xsd:restriction base="dms:Text">
          <xsd:maxLength value="255"/>
        </xsd:restriction>
      </xsd:simpleType>
    </xsd:element>
    <xsd:element name="ProcessorEvent" ma:index="25" nillable="true" ma:displayName="Process or Event" ma:format="Dropdown" ma:internalName="ProcessorEvent">
      <xsd:complexType>
        <xsd:complexContent>
          <xsd:extension base="dms:MultiChoice">
            <xsd:sequence>
              <xsd:element name="Value" maxOccurs="unbounded" minOccurs="0" nillable="true">
                <xsd:simpleType>
                  <xsd:restriction base="dms:Choice">
                    <xsd:enumeration value="ASoSC"/>
                    <xsd:enumeration value="Welcome Ltr (SG inc)"/>
                    <xsd:enumeration value="Finance (Block Funding)"/>
                    <xsd:enumeration value="SLFA (DoV)"/>
                    <xsd:enumeration value="Escalation"/>
                    <xsd:enumeration value="ETO Data Entry"/>
                    <xsd:enumeration value="Reporting"/>
                    <xsd:enumeration value="Compliance"/>
                    <xsd:enumeration value="Funding Approval"/>
                    <xsd:enumeration value="Funding Not Approved"/>
                    <xsd:enumeration value="Initial Request"/>
                    <xsd:enumeration value="Curriculum"/>
                    <xsd:enumeration value="Budget"/>
                    <xsd:enumeration value="Quality"/>
                  </xsd:restriction>
                </xsd:simpleType>
              </xsd:element>
            </xsd:sequence>
          </xsd:extension>
        </xsd:complexContent>
      </xsd:complexType>
    </xsd:element>
    <xsd:element name="ResourceType" ma:index="26" nillable="true" ma:displayName="Resource Type" ma:format="Dropdown" ma:internalName="ResourceType">
      <xsd:simpleType>
        <xsd:restriction base="dms:Choice">
          <xsd:enumeration value="Guide"/>
          <xsd:enumeration value="Resource sheet"/>
          <xsd:enumeration value="Email Proforma"/>
          <xsd:enumeration value="Template"/>
          <xsd:enumeration value="Form"/>
        </xsd:restriction>
      </xsd:simpleType>
    </xsd:element>
    <xsd:element name="_Flow_SignoffStatus" ma:index="27" nillable="true" ma:displayName="Sign-off status"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837cbc0-f73e-48a5-92f4-1432fc8b903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b346808b-d535-46ac-bebf-e2795e0d8773}" ma:internalName="TaxCatchAll" ma:showField="CatchAllData" ma:web="1f31a8aa-ada4-4fd1-b5a8-7c9e4f4eb2d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19" nillable="true" ma:displayName="Version" ma:internalName="_Versio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Document 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AA7042D-245B-48A7-BAC7-2C29BAF3E7D4}"/>
</file>

<file path=customXml/itemProps2.xml><?xml version="1.0" encoding="utf-8"?>
<ds:datastoreItem xmlns:ds="http://schemas.openxmlformats.org/officeDocument/2006/customXml" ds:itemID="{A7EB7F05-0D22-4C82-A613-85200BED1876}"/>
</file>

<file path=customXml/itemProps3.xml><?xml version="1.0" encoding="utf-8"?>
<ds:datastoreItem xmlns:ds="http://schemas.openxmlformats.org/officeDocument/2006/customXml" ds:itemID="{3818D031-CA9A-4063-9F88-2B944251D031}"/>
</file>

<file path=docMetadata/LabelInfo.xml><?xml version="1.0" encoding="utf-8"?>
<clbl:labelList xmlns:clbl="http://schemas.microsoft.com/office/2020/mipLabelMetadata">
  <clbl:label id="{10dde413-0e86-4404-bb12-5db45c941333}" enabled="1" method="Standard" siteId="{db995439-6030-4125-a9a9-8c082669cb22}"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Brotherhood of St Laurence</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Financial Reporting Template</dc:title>
  <dc:subject/>
  <dc:creator>michellem</dc:creator>
  <cp:keywords/>
  <dc:description/>
  <cp:lastModifiedBy>Manuel Solano</cp:lastModifiedBy>
  <cp:revision/>
  <dcterms:created xsi:type="dcterms:W3CDTF">2014-02-03T01:11:05Z</dcterms:created>
  <dcterms:modified xsi:type="dcterms:W3CDTF">2026-04-30T03:41:30Z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0x010100463943DE91EF9C44B9676AEC5207D432</vt:lpwstr>
  </property>
  <property fmtid="{D5CDD505-2E9C-101B-9397-08002B2CF9AE}" pid="3" name="Order">
    <vt:r8>100</vt:r8>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MediaServiceImageTags">
    <vt:lpwstr/>
  </property>
  <property fmtid="{D5CDD505-2E9C-101B-9397-08002B2CF9AE}" pid="11" name="SharedWithUsers">
    <vt:lpwstr>40;#Melissa Holdridge;#4715;#Clare Seddon;#4766;#Justin Hester;#4967;#Cassie Yu;#6055;#Manuel Solano</vt:lpwstr>
  </property>
  <property fmtid="{D5CDD505-2E9C-101B-9397-08002B2CF9AE}" pid="12" name="Owner">
    <vt:lpwstr>161;#Quality, Performance and Administration|1e0e966f-c8fb-4f9b-8fec-96953adeca55</vt:lpwstr>
  </property>
</Properties>
</file>